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8915" windowHeight="8505"/>
  </bookViews>
  <sheets>
    <sheet name="SMP_ELA" sheetId="11" r:id="rId1"/>
    <sheet name="I_D1" sheetId="1" r:id="rId2"/>
    <sheet name="I_D2" sheetId="2" r:id="rId3"/>
    <sheet name="I_F1" sheetId="3" r:id="rId4"/>
    <sheet name="I_F2" sheetId="4" r:id="rId5"/>
    <sheet name="I_E1" sheetId="5" r:id="rId6"/>
    <sheet name="I_E2" sheetId="6" r:id="rId7"/>
    <sheet name="I_I1" sheetId="8" r:id="rId8"/>
    <sheet name="I_I2" sheetId="7" r:id="rId9"/>
    <sheet name="II_D1" sheetId="12" r:id="rId10"/>
    <sheet name="II_D2" sheetId="13" r:id="rId11"/>
    <sheet name="II_F1" sheetId="14" r:id="rId12"/>
    <sheet name="II_F2" sheetId="15" r:id="rId13"/>
    <sheet name="II_E1" sheetId="16" r:id="rId14"/>
    <sheet name="II_E2" sheetId="17" r:id="rId15"/>
    <sheet name="II_I1" sheetId="18" r:id="rId16"/>
    <sheet name="II_I2" sheetId="19" r:id="rId17"/>
  </sheets>
  <calcPr calcId="124519"/>
</workbook>
</file>

<file path=xl/calcChain.xml><?xml version="1.0" encoding="utf-8"?>
<calcChain xmlns="http://schemas.openxmlformats.org/spreadsheetml/2006/main">
  <c r="D24" i="19"/>
  <c r="G24" s="1"/>
  <c r="C24"/>
  <c r="F24" s="1"/>
  <c r="B24"/>
  <c r="E24" s="1"/>
  <c r="D23"/>
  <c r="G23" s="1"/>
  <c r="C23"/>
  <c r="F23" s="1"/>
  <c r="J22" s="1"/>
  <c r="B23"/>
  <c r="E23" s="1"/>
  <c r="D22"/>
  <c r="G22" s="1"/>
  <c r="C22"/>
  <c r="F22" s="1"/>
  <c r="B22"/>
  <c r="E22" s="1"/>
  <c r="G17"/>
  <c r="F17"/>
  <c r="E17"/>
  <c r="G16"/>
  <c r="F16"/>
  <c r="E16"/>
  <c r="G15"/>
  <c r="F15"/>
  <c r="E15"/>
  <c r="F9"/>
  <c r="E9"/>
  <c r="C9"/>
  <c r="C8"/>
  <c r="C7"/>
  <c r="C6"/>
  <c r="F5"/>
  <c r="E5"/>
  <c r="C5"/>
  <c r="C10" s="1"/>
  <c r="F4"/>
  <c r="E4"/>
  <c r="F3"/>
  <c r="F8" s="1"/>
  <c r="F10" s="1"/>
  <c r="E3"/>
  <c r="E8" s="1"/>
  <c r="E10" s="1"/>
  <c r="E27" i="18"/>
  <c r="D27"/>
  <c r="E26"/>
  <c r="D26"/>
  <c r="E25"/>
  <c r="D25"/>
  <c r="E24"/>
  <c r="D24"/>
  <c r="E23"/>
  <c r="D23"/>
  <c r="K19"/>
  <c r="J19"/>
  <c r="I19"/>
  <c r="B27" s="1"/>
  <c r="C27" s="1"/>
  <c r="B35" s="1"/>
  <c r="C19"/>
  <c r="K18"/>
  <c r="J18"/>
  <c r="C18"/>
  <c r="K17"/>
  <c r="J17"/>
  <c r="C17"/>
  <c r="K16"/>
  <c r="J16"/>
  <c r="C16"/>
  <c r="K15"/>
  <c r="J15"/>
  <c r="C15"/>
  <c r="F9"/>
  <c r="E9"/>
  <c r="C9"/>
  <c r="C8"/>
  <c r="F7"/>
  <c r="E7"/>
  <c r="C7"/>
  <c r="F6"/>
  <c r="E6"/>
  <c r="C6"/>
  <c r="F5"/>
  <c r="E5"/>
  <c r="C5"/>
  <c r="C10" s="1"/>
  <c r="F4"/>
  <c r="E4"/>
  <c r="J3"/>
  <c r="I3"/>
  <c r="J6" s="1"/>
  <c r="K6" s="1"/>
  <c r="F3"/>
  <c r="F8" s="1"/>
  <c r="F10" s="1"/>
  <c r="E3"/>
  <c r="E8" s="1"/>
  <c r="E10" s="1"/>
  <c r="D24" i="17"/>
  <c r="G24" s="1"/>
  <c r="C24"/>
  <c r="F24" s="1"/>
  <c r="B24"/>
  <c r="E24" s="1"/>
  <c r="D23"/>
  <c r="G23" s="1"/>
  <c r="C23"/>
  <c r="F23" s="1"/>
  <c r="J22" s="1"/>
  <c r="B23"/>
  <c r="E23" s="1"/>
  <c r="D22"/>
  <c r="G22" s="1"/>
  <c r="C22"/>
  <c r="F22" s="1"/>
  <c r="B22"/>
  <c r="E22" s="1"/>
  <c r="G17"/>
  <c r="F17"/>
  <c r="E17"/>
  <c r="G16"/>
  <c r="F16"/>
  <c r="E16"/>
  <c r="G15"/>
  <c r="F15"/>
  <c r="E15"/>
  <c r="F9"/>
  <c r="E9"/>
  <c r="C9"/>
  <c r="C8"/>
  <c r="C7"/>
  <c r="C6"/>
  <c r="F5"/>
  <c r="E5"/>
  <c r="C5"/>
  <c r="C10" s="1"/>
  <c r="F4"/>
  <c r="E4"/>
  <c r="F3"/>
  <c r="F8" s="1"/>
  <c r="F10" s="1"/>
  <c r="E3"/>
  <c r="E8" s="1"/>
  <c r="E10" s="1"/>
  <c r="H27" i="16"/>
  <c r="E27"/>
  <c r="D27"/>
  <c r="G27" s="1"/>
  <c r="B27"/>
  <c r="C27" s="1"/>
  <c r="B35" s="1"/>
  <c r="G26"/>
  <c r="E26"/>
  <c r="H26" s="1"/>
  <c r="D26"/>
  <c r="H25"/>
  <c r="E25"/>
  <c r="D25"/>
  <c r="G25" s="1"/>
  <c r="G24"/>
  <c r="E24"/>
  <c r="H24" s="1"/>
  <c r="D24"/>
  <c r="H23"/>
  <c r="E23"/>
  <c r="D23"/>
  <c r="G23" s="1"/>
  <c r="K19"/>
  <c r="J19"/>
  <c r="I19"/>
  <c r="C19"/>
  <c r="K18"/>
  <c r="J18"/>
  <c r="C18"/>
  <c r="K17"/>
  <c r="J17"/>
  <c r="C17"/>
  <c r="K16"/>
  <c r="J16"/>
  <c r="C16"/>
  <c r="K15"/>
  <c r="J15"/>
  <c r="C15"/>
  <c r="F9"/>
  <c r="E9"/>
  <c r="C9"/>
  <c r="C8"/>
  <c r="F7"/>
  <c r="E7"/>
  <c r="C7"/>
  <c r="F6"/>
  <c r="E6"/>
  <c r="C6"/>
  <c r="F5"/>
  <c r="E5"/>
  <c r="C5"/>
  <c r="C10" s="1"/>
  <c r="F4"/>
  <c r="E4"/>
  <c r="I3"/>
  <c r="J3" s="1"/>
  <c r="K3" s="1"/>
  <c r="F3"/>
  <c r="F8" s="1"/>
  <c r="F10" s="1"/>
  <c r="E3"/>
  <c r="E8" s="1"/>
  <c r="E10" s="1"/>
  <c r="D24" i="15"/>
  <c r="G24" s="1"/>
  <c r="C24"/>
  <c r="F24" s="1"/>
  <c r="J22" s="1"/>
  <c r="B24"/>
  <c r="E24" s="1"/>
  <c r="F23"/>
  <c r="D23"/>
  <c r="G23" s="1"/>
  <c r="C23"/>
  <c r="B23"/>
  <c r="E23" s="1"/>
  <c r="G22"/>
  <c r="E22"/>
  <c r="F35" s="1"/>
  <c r="D22"/>
  <c r="C22"/>
  <c r="F22" s="1"/>
  <c r="B22"/>
  <c r="G17"/>
  <c r="F17"/>
  <c r="E17"/>
  <c r="G16"/>
  <c r="F16"/>
  <c r="E16"/>
  <c r="G15"/>
  <c r="F15"/>
  <c r="E15"/>
  <c r="F9"/>
  <c r="E9"/>
  <c r="C9"/>
  <c r="C8"/>
  <c r="C7"/>
  <c r="C6"/>
  <c r="F5"/>
  <c r="E5"/>
  <c r="C5"/>
  <c r="C10" s="1"/>
  <c r="F4"/>
  <c r="E4"/>
  <c r="F3"/>
  <c r="F8" s="1"/>
  <c r="F10" s="1"/>
  <c r="E3"/>
  <c r="E8" s="1"/>
  <c r="E10" s="1"/>
  <c r="E27" i="14"/>
  <c r="D27"/>
  <c r="E26"/>
  <c r="D26"/>
  <c r="E25"/>
  <c r="D25"/>
  <c r="E24"/>
  <c r="D24"/>
  <c r="E23"/>
  <c r="D23"/>
  <c r="K19"/>
  <c r="J19"/>
  <c r="I19"/>
  <c r="B27" s="1"/>
  <c r="C27" s="1"/>
  <c r="B35" s="1"/>
  <c r="C19"/>
  <c r="K18"/>
  <c r="J18"/>
  <c r="C18"/>
  <c r="K17"/>
  <c r="J17"/>
  <c r="C17"/>
  <c r="K16"/>
  <c r="J16"/>
  <c r="C16"/>
  <c r="K15"/>
  <c r="J15"/>
  <c r="C15"/>
  <c r="F9"/>
  <c r="E9"/>
  <c r="C9"/>
  <c r="C8"/>
  <c r="F7"/>
  <c r="E7"/>
  <c r="C7"/>
  <c r="F6"/>
  <c r="E6"/>
  <c r="C6"/>
  <c r="F5"/>
  <c r="E5"/>
  <c r="C5"/>
  <c r="C10" s="1"/>
  <c r="F4"/>
  <c r="E4"/>
  <c r="I3"/>
  <c r="J6" s="1"/>
  <c r="K6" s="1"/>
  <c r="F3"/>
  <c r="F8" s="1"/>
  <c r="F10" s="1"/>
  <c r="E3"/>
  <c r="E8" s="1"/>
  <c r="E10" s="1"/>
  <c r="D24" i="13"/>
  <c r="G24" s="1"/>
  <c r="C24"/>
  <c r="F24" s="1"/>
  <c r="B24"/>
  <c r="E24" s="1"/>
  <c r="D23"/>
  <c r="G23" s="1"/>
  <c r="C23"/>
  <c r="F23" s="1"/>
  <c r="J22" s="1"/>
  <c r="B23"/>
  <c r="E23" s="1"/>
  <c r="D22"/>
  <c r="G22" s="1"/>
  <c r="C22"/>
  <c r="F22" s="1"/>
  <c r="B22"/>
  <c r="E22" s="1"/>
  <c r="G17"/>
  <c r="F17"/>
  <c r="E17"/>
  <c r="G16"/>
  <c r="F16"/>
  <c r="E16"/>
  <c r="G15"/>
  <c r="F15"/>
  <c r="E15"/>
  <c r="F9"/>
  <c r="E9"/>
  <c r="C9"/>
  <c r="C8"/>
  <c r="C7"/>
  <c r="C6"/>
  <c r="F5"/>
  <c r="E5"/>
  <c r="C5"/>
  <c r="C10" s="1"/>
  <c r="F4"/>
  <c r="E4"/>
  <c r="F3"/>
  <c r="F8" s="1"/>
  <c r="F10" s="1"/>
  <c r="E3"/>
  <c r="E8" s="1"/>
  <c r="E10" s="1"/>
  <c r="E27" i="12"/>
  <c r="D27"/>
  <c r="E26"/>
  <c r="D26"/>
  <c r="E25"/>
  <c r="D25"/>
  <c r="E24"/>
  <c r="D24"/>
  <c r="E23"/>
  <c r="D23"/>
  <c r="I19"/>
  <c r="B27" s="1"/>
  <c r="C27" s="1"/>
  <c r="B35" s="1"/>
  <c r="C19"/>
  <c r="C18"/>
  <c r="C17"/>
  <c r="C16"/>
  <c r="C15"/>
  <c r="F9"/>
  <c r="E9"/>
  <c r="C9"/>
  <c r="C8"/>
  <c r="F7"/>
  <c r="E7"/>
  <c r="C7"/>
  <c r="F6"/>
  <c r="E6"/>
  <c r="C6"/>
  <c r="F5"/>
  <c r="E5"/>
  <c r="C5"/>
  <c r="C10" s="1"/>
  <c r="F4"/>
  <c r="E4"/>
  <c r="I3"/>
  <c r="J7" s="1"/>
  <c r="K7" s="1"/>
  <c r="F3"/>
  <c r="F8" s="1"/>
  <c r="F10" s="1"/>
  <c r="E3"/>
  <c r="E8" s="1"/>
  <c r="E10" s="1"/>
  <c r="D24" i="11"/>
  <c r="G24" s="1"/>
  <c r="K22" s="1"/>
  <c r="C24"/>
  <c r="F24" s="1"/>
  <c r="B24"/>
  <c r="E24" s="1"/>
  <c r="G23"/>
  <c r="E23"/>
  <c r="D23"/>
  <c r="C23"/>
  <c r="F23" s="1"/>
  <c r="B23"/>
  <c r="F22"/>
  <c r="D22"/>
  <c r="G22" s="1"/>
  <c r="C22"/>
  <c r="B22"/>
  <c r="E22" s="1"/>
  <c r="G17"/>
  <c r="F17"/>
  <c r="E17"/>
  <c r="G16"/>
  <c r="F16"/>
  <c r="E16"/>
  <c r="G15"/>
  <c r="F15"/>
  <c r="E15"/>
  <c r="F9"/>
  <c r="E9"/>
  <c r="C7"/>
  <c r="C6"/>
  <c r="F5"/>
  <c r="E5"/>
  <c r="C5"/>
  <c r="F4"/>
  <c r="E4"/>
  <c r="C4"/>
  <c r="F3"/>
  <c r="F8" s="1"/>
  <c r="F10" s="1"/>
  <c r="E3"/>
  <c r="E8" s="1"/>
  <c r="E10" s="1"/>
  <c r="C3"/>
  <c r="C8" s="1"/>
  <c r="G31" i="2"/>
  <c r="G30"/>
  <c r="G29"/>
  <c r="C31"/>
  <c r="C30"/>
  <c r="C29"/>
  <c r="G31" i="4"/>
  <c r="G30"/>
  <c r="G29"/>
  <c r="C31"/>
  <c r="C30"/>
  <c r="C29"/>
  <c r="G31" i="6"/>
  <c r="G30"/>
  <c r="G32"/>
  <c r="F38"/>
  <c r="F39"/>
  <c r="G29"/>
  <c r="C31"/>
  <c r="C30"/>
  <c r="C29"/>
  <c r="G31" i="7"/>
  <c r="G30"/>
  <c r="G29"/>
  <c r="C31"/>
  <c r="C30"/>
  <c r="C37" i="5"/>
  <c r="C36"/>
  <c r="C35"/>
  <c r="C34"/>
  <c r="C33"/>
  <c r="C37" i="3"/>
  <c r="C36"/>
  <c r="C35"/>
  <c r="C34"/>
  <c r="C33"/>
  <c r="C37" i="1"/>
  <c r="C36"/>
  <c r="C35"/>
  <c r="C34"/>
  <c r="C33"/>
  <c r="C37" i="8"/>
  <c r="C36"/>
  <c r="C35"/>
  <c r="C34"/>
  <c r="B24"/>
  <c r="G32" i="7"/>
  <c r="F38"/>
  <c r="F39"/>
  <c r="C32"/>
  <c r="B38"/>
  <c r="B39"/>
  <c r="C29"/>
  <c r="C32" i="6"/>
  <c r="B38"/>
  <c r="B39"/>
  <c r="G32" i="4"/>
  <c r="F38"/>
  <c r="F39"/>
  <c r="C32"/>
  <c r="B38"/>
  <c r="B39"/>
  <c r="G32" i="2"/>
  <c r="F38"/>
  <c r="F39"/>
  <c r="C32"/>
  <c r="B38"/>
  <c r="B39"/>
  <c r="B35" i="7"/>
  <c r="B35" i="6"/>
  <c r="B35" i="4"/>
  <c r="B35" i="2"/>
  <c r="K22" i="7"/>
  <c r="J22"/>
  <c r="I22"/>
  <c r="K22" i="6"/>
  <c r="J22"/>
  <c r="I22"/>
  <c r="K22" i="4"/>
  <c r="G35"/>
  <c r="J22"/>
  <c r="I22"/>
  <c r="K22" i="2"/>
  <c r="J22"/>
  <c r="I22"/>
  <c r="C42" i="5"/>
  <c r="B42"/>
  <c r="C42" i="1"/>
  <c r="C42" i="3"/>
  <c r="B42"/>
  <c r="B42" i="1"/>
  <c r="F35" i="7"/>
  <c r="F5"/>
  <c r="F4"/>
  <c r="E5"/>
  <c r="E4"/>
  <c r="C9"/>
  <c r="C8"/>
  <c r="C7"/>
  <c r="C6"/>
  <c r="C5"/>
  <c r="C10"/>
  <c r="F7" i="8"/>
  <c r="F6"/>
  <c r="F5"/>
  <c r="F4"/>
  <c r="E7"/>
  <c r="E6"/>
  <c r="E5"/>
  <c r="E4"/>
  <c r="C9"/>
  <c r="C8"/>
  <c r="C7"/>
  <c r="C6"/>
  <c r="C5"/>
  <c r="F35" i="6"/>
  <c r="F5"/>
  <c r="F4"/>
  <c r="E5"/>
  <c r="E4"/>
  <c r="C9"/>
  <c r="C8"/>
  <c r="C7"/>
  <c r="C6"/>
  <c r="C10"/>
  <c r="C5"/>
  <c r="F7" i="5"/>
  <c r="F6"/>
  <c r="F5"/>
  <c r="F4"/>
  <c r="E7"/>
  <c r="E6"/>
  <c r="E5"/>
  <c r="E4"/>
  <c r="C9"/>
  <c r="C8"/>
  <c r="C7"/>
  <c r="C6"/>
  <c r="C5"/>
  <c r="C10"/>
  <c r="F35" i="4"/>
  <c r="F5"/>
  <c r="F4"/>
  <c r="E5"/>
  <c r="E4"/>
  <c r="C9"/>
  <c r="C8"/>
  <c r="C7"/>
  <c r="C6"/>
  <c r="C5"/>
  <c r="C10"/>
  <c r="F7" i="3"/>
  <c r="F6"/>
  <c r="F5"/>
  <c r="F4"/>
  <c r="E7"/>
  <c r="E6"/>
  <c r="E5"/>
  <c r="E4"/>
  <c r="C9"/>
  <c r="C8"/>
  <c r="C7"/>
  <c r="C6"/>
  <c r="C5"/>
  <c r="F35" i="2"/>
  <c r="F5"/>
  <c r="F4"/>
  <c r="E5"/>
  <c r="E4"/>
  <c r="C9"/>
  <c r="C8"/>
  <c r="C7"/>
  <c r="C6"/>
  <c r="C5"/>
  <c r="C10"/>
  <c r="F10" i="1"/>
  <c r="F7"/>
  <c r="F6"/>
  <c r="F5"/>
  <c r="F4"/>
  <c r="E7"/>
  <c r="E6"/>
  <c r="E5"/>
  <c r="E4"/>
  <c r="C10"/>
  <c r="C9"/>
  <c r="C8"/>
  <c r="D24" i="7"/>
  <c r="D23"/>
  <c r="D22"/>
  <c r="G22"/>
  <c r="C24"/>
  <c r="C23"/>
  <c r="C22"/>
  <c r="B24"/>
  <c r="B23"/>
  <c r="B22"/>
  <c r="E9"/>
  <c r="F9"/>
  <c r="F3"/>
  <c r="E3"/>
  <c r="E29" i="8"/>
  <c r="E28"/>
  <c r="E27"/>
  <c r="E26"/>
  <c r="E25"/>
  <c r="E24"/>
  <c r="D29"/>
  <c r="D28"/>
  <c r="D27"/>
  <c r="D26"/>
  <c r="D25"/>
  <c r="D24"/>
  <c r="C29"/>
  <c r="C28"/>
  <c r="C27"/>
  <c r="C26"/>
  <c r="C25"/>
  <c r="C24"/>
  <c r="C42"/>
  <c r="B29"/>
  <c r="B28"/>
  <c r="B27"/>
  <c r="B26"/>
  <c r="B25"/>
  <c r="F9"/>
  <c r="F3"/>
  <c r="E9"/>
  <c r="E3"/>
  <c r="F24" i="7"/>
  <c r="G24"/>
  <c r="E24"/>
  <c r="F23"/>
  <c r="G23"/>
  <c r="E23"/>
  <c r="E22"/>
  <c r="F29"/>
  <c r="F22"/>
  <c r="G17"/>
  <c r="F17"/>
  <c r="E17"/>
  <c r="G16"/>
  <c r="F16"/>
  <c r="E16"/>
  <c r="G15"/>
  <c r="F15"/>
  <c r="E15"/>
  <c r="F8"/>
  <c r="F10"/>
  <c r="E8"/>
  <c r="E10"/>
  <c r="H29" i="8"/>
  <c r="G29"/>
  <c r="H28"/>
  <c r="G28"/>
  <c r="F28"/>
  <c r="H27"/>
  <c r="G27"/>
  <c r="B36"/>
  <c r="H26"/>
  <c r="G26"/>
  <c r="F26"/>
  <c r="H25"/>
  <c r="G25"/>
  <c r="B34"/>
  <c r="H24"/>
  <c r="G24"/>
  <c r="H20"/>
  <c r="G20"/>
  <c r="F20"/>
  <c r="C20"/>
  <c r="H19"/>
  <c r="G19"/>
  <c r="F19"/>
  <c r="C19"/>
  <c r="H18"/>
  <c r="G18"/>
  <c r="F18"/>
  <c r="C18"/>
  <c r="H17"/>
  <c r="G17"/>
  <c r="F17"/>
  <c r="C17"/>
  <c r="H16"/>
  <c r="G16"/>
  <c r="F16"/>
  <c r="C16"/>
  <c r="H15"/>
  <c r="G15"/>
  <c r="F15"/>
  <c r="C15"/>
  <c r="F8"/>
  <c r="F10"/>
  <c r="E8"/>
  <c r="E10"/>
  <c r="F9" i="6"/>
  <c r="F3"/>
  <c r="E9"/>
  <c r="E3"/>
  <c r="F9" i="5"/>
  <c r="F3"/>
  <c r="E9"/>
  <c r="E3"/>
  <c r="F9" i="4"/>
  <c r="F3"/>
  <c r="E9"/>
  <c r="E3"/>
  <c r="F9" i="3"/>
  <c r="F3"/>
  <c r="E9"/>
  <c r="E3"/>
  <c r="D24" i="6"/>
  <c r="D23"/>
  <c r="D22"/>
  <c r="C24"/>
  <c r="C23"/>
  <c r="C22"/>
  <c r="B24"/>
  <c r="B23"/>
  <c r="B22"/>
  <c r="E29" i="5"/>
  <c r="E28"/>
  <c r="E27"/>
  <c r="E26"/>
  <c r="E25"/>
  <c r="E24"/>
  <c r="D29"/>
  <c r="D28"/>
  <c r="D27"/>
  <c r="D26"/>
  <c r="D25"/>
  <c r="D24"/>
  <c r="C29"/>
  <c r="C28"/>
  <c r="C27"/>
  <c r="C26"/>
  <c r="C25"/>
  <c r="C24"/>
  <c r="B29"/>
  <c r="B28"/>
  <c r="B27"/>
  <c r="B26"/>
  <c r="B25"/>
  <c r="B24"/>
  <c r="E29" i="3"/>
  <c r="E28"/>
  <c r="E27"/>
  <c r="E26"/>
  <c r="E25"/>
  <c r="E24"/>
  <c r="D29"/>
  <c r="D28"/>
  <c r="D27"/>
  <c r="D26"/>
  <c r="D25"/>
  <c r="D24"/>
  <c r="C29"/>
  <c r="C28"/>
  <c r="C27"/>
  <c r="C26"/>
  <c r="C25"/>
  <c r="C24"/>
  <c r="B29"/>
  <c r="B28"/>
  <c r="B27"/>
  <c r="B26"/>
  <c r="B25"/>
  <c r="B24"/>
  <c r="D24" i="4"/>
  <c r="D23"/>
  <c r="D22"/>
  <c r="C24"/>
  <c r="C23"/>
  <c r="C22"/>
  <c r="B24"/>
  <c r="B23"/>
  <c r="B22"/>
  <c r="H29" i="5"/>
  <c r="G29"/>
  <c r="F29"/>
  <c r="H28"/>
  <c r="G28"/>
  <c r="F28"/>
  <c r="G27"/>
  <c r="H27"/>
  <c r="B36"/>
  <c r="F27"/>
  <c r="H26"/>
  <c r="G26"/>
  <c r="F26"/>
  <c r="H25"/>
  <c r="G25"/>
  <c r="B34"/>
  <c r="H24"/>
  <c r="G24"/>
  <c r="H20"/>
  <c r="G20"/>
  <c r="F20"/>
  <c r="C20"/>
  <c r="H19"/>
  <c r="G19"/>
  <c r="F19"/>
  <c r="C19"/>
  <c r="H18"/>
  <c r="G18"/>
  <c r="F18"/>
  <c r="C18"/>
  <c r="H17"/>
  <c r="G17"/>
  <c r="F17"/>
  <c r="C17"/>
  <c r="H16"/>
  <c r="G16"/>
  <c r="F16"/>
  <c r="C16"/>
  <c r="H15"/>
  <c r="G15"/>
  <c r="F15"/>
  <c r="C15"/>
  <c r="F8"/>
  <c r="F10"/>
  <c r="E8"/>
  <c r="E10"/>
  <c r="F24" i="6"/>
  <c r="G24"/>
  <c r="E24"/>
  <c r="F23"/>
  <c r="G23"/>
  <c r="E23"/>
  <c r="G22"/>
  <c r="E22"/>
  <c r="F29"/>
  <c r="F22"/>
  <c r="G17"/>
  <c r="F17"/>
  <c r="E17"/>
  <c r="G16"/>
  <c r="F16"/>
  <c r="E16"/>
  <c r="G15"/>
  <c r="F15"/>
  <c r="E15"/>
  <c r="F8"/>
  <c r="F10"/>
  <c r="E8"/>
  <c r="E10"/>
  <c r="F24" i="4"/>
  <c r="G24"/>
  <c r="E24"/>
  <c r="F23"/>
  <c r="G23"/>
  <c r="E23"/>
  <c r="G22"/>
  <c r="E22"/>
  <c r="F29"/>
  <c r="F22"/>
  <c r="G17"/>
  <c r="F17"/>
  <c r="E17"/>
  <c r="G16"/>
  <c r="F16"/>
  <c r="E16"/>
  <c r="G15"/>
  <c r="F15"/>
  <c r="E15"/>
  <c r="E8"/>
  <c r="E10"/>
  <c r="F8"/>
  <c r="F10"/>
  <c r="H29" i="3"/>
  <c r="G29"/>
  <c r="F29"/>
  <c r="H28"/>
  <c r="G28"/>
  <c r="F28"/>
  <c r="H27"/>
  <c r="G27"/>
  <c r="B36"/>
  <c r="H26"/>
  <c r="G26"/>
  <c r="F26"/>
  <c r="H25"/>
  <c r="G25"/>
  <c r="B34"/>
  <c r="H24"/>
  <c r="G24"/>
  <c r="H20"/>
  <c r="G20"/>
  <c r="F20"/>
  <c r="C20"/>
  <c r="H19"/>
  <c r="G19"/>
  <c r="F19"/>
  <c r="C19"/>
  <c r="H18"/>
  <c r="G18"/>
  <c r="F18"/>
  <c r="C18"/>
  <c r="H17"/>
  <c r="G17"/>
  <c r="F17"/>
  <c r="C17"/>
  <c r="H16"/>
  <c r="G16"/>
  <c r="F16"/>
  <c r="C16"/>
  <c r="H15"/>
  <c r="G15"/>
  <c r="F15"/>
  <c r="C15"/>
  <c r="F8"/>
  <c r="F10"/>
  <c r="E8"/>
  <c r="E10"/>
  <c r="C10"/>
  <c r="G23" i="2"/>
  <c r="F23"/>
  <c r="E22"/>
  <c r="E15"/>
  <c r="F16"/>
  <c r="G16"/>
  <c r="G17"/>
  <c r="F17"/>
  <c r="F9"/>
  <c r="E9"/>
  <c r="D24"/>
  <c r="G24"/>
  <c r="C24"/>
  <c r="F24"/>
  <c r="B24"/>
  <c r="E24"/>
  <c r="D23"/>
  <c r="C23"/>
  <c r="B23"/>
  <c r="D22"/>
  <c r="G22"/>
  <c r="C22"/>
  <c r="F22"/>
  <c r="B22"/>
  <c r="E17"/>
  <c r="E16"/>
  <c r="G15"/>
  <c r="F15"/>
  <c r="F3"/>
  <c r="E3"/>
  <c r="F9" i="1"/>
  <c r="E9"/>
  <c r="F8"/>
  <c r="E8"/>
  <c r="E10"/>
  <c r="H26"/>
  <c r="H27"/>
  <c r="H28"/>
  <c r="H29"/>
  <c r="H25"/>
  <c r="G26"/>
  <c r="G27"/>
  <c r="G28"/>
  <c r="G29"/>
  <c r="G25"/>
  <c r="E24"/>
  <c r="E25"/>
  <c r="E26"/>
  <c r="E27"/>
  <c r="E28"/>
  <c r="E29"/>
  <c r="D25"/>
  <c r="D26"/>
  <c r="D27"/>
  <c r="D28"/>
  <c r="D29"/>
  <c r="D24"/>
  <c r="B26"/>
  <c r="C26"/>
  <c r="B35"/>
  <c r="B27"/>
  <c r="C27"/>
  <c r="B36"/>
  <c r="B28"/>
  <c r="C28"/>
  <c r="B37"/>
  <c r="B29"/>
  <c r="F29"/>
  <c r="B25"/>
  <c r="C25"/>
  <c r="B34"/>
  <c r="F26"/>
  <c r="F28"/>
  <c r="B24"/>
  <c r="F27"/>
  <c r="F25"/>
  <c r="H24"/>
  <c r="G24"/>
  <c r="F24"/>
  <c r="C16"/>
  <c r="C17"/>
  <c r="C18"/>
  <c r="C19"/>
  <c r="C20"/>
  <c r="C15"/>
  <c r="H20"/>
  <c r="H19"/>
  <c r="H17"/>
  <c r="H18"/>
  <c r="H16"/>
  <c r="H15"/>
  <c r="G20"/>
  <c r="G19"/>
  <c r="G17"/>
  <c r="G18"/>
  <c r="G16"/>
  <c r="F20"/>
  <c r="F19"/>
  <c r="G15"/>
  <c r="F16"/>
  <c r="F17"/>
  <c r="F18"/>
  <c r="F15"/>
  <c r="F3"/>
  <c r="E3"/>
  <c r="C7"/>
  <c r="C6"/>
  <c r="C5"/>
  <c r="C29"/>
  <c r="C24"/>
  <c r="B33"/>
  <c r="B38"/>
  <c r="F8" i="2"/>
  <c r="F10"/>
  <c r="E8"/>
  <c r="E10"/>
  <c r="F31"/>
  <c r="B31"/>
  <c r="E23"/>
  <c r="C35"/>
  <c r="F29"/>
  <c r="B29"/>
  <c r="F30"/>
  <c r="B30"/>
  <c r="G35"/>
  <c r="B32"/>
  <c r="F32"/>
  <c r="F24" i="5"/>
  <c r="F25"/>
  <c r="B35"/>
  <c r="B37"/>
  <c r="B33"/>
  <c r="C35" i="6"/>
  <c r="F30"/>
  <c r="B30"/>
  <c r="F31"/>
  <c r="B31"/>
  <c r="F32"/>
  <c r="G35"/>
  <c r="B29"/>
  <c r="C35" i="4"/>
  <c r="F30"/>
  <c r="B30"/>
  <c r="F31"/>
  <c r="B31"/>
  <c r="B29"/>
  <c r="F24" i="3"/>
  <c r="F25"/>
  <c r="B35"/>
  <c r="F27"/>
  <c r="B37"/>
  <c r="B33"/>
  <c r="F32" i="4"/>
  <c r="B38" i="5"/>
  <c r="B32" i="6"/>
  <c r="B32" i="4"/>
  <c r="B38" i="3"/>
  <c r="C10" i="8"/>
  <c r="C35" i="7"/>
  <c r="F30"/>
  <c r="B30"/>
  <c r="F31"/>
  <c r="B31"/>
  <c r="G35"/>
  <c r="B29"/>
  <c r="F24" i="8"/>
  <c r="F25"/>
  <c r="B35"/>
  <c r="F27"/>
  <c r="B37"/>
  <c r="F29"/>
  <c r="B33"/>
  <c r="B32" i="7"/>
  <c r="F32"/>
  <c r="C38" i="5"/>
  <c r="C38" i="3"/>
  <c r="D45"/>
  <c r="D46"/>
  <c r="D45" i="5"/>
  <c r="D46"/>
  <c r="B45"/>
  <c r="B46"/>
  <c r="C45"/>
  <c r="C46"/>
  <c r="C45" i="3"/>
  <c r="C46"/>
  <c r="C38" i="1"/>
  <c r="C45"/>
  <c r="C46"/>
  <c r="B45" i="3"/>
  <c r="B46"/>
  <c r="D45" i="1"/>
  <c r="D46"/>
  <c r="B45"/>
  <c r="B46"/>
  <c r="B38" i="8"/>
  <c r="B42"/>
  <c r="C33"/>
  <c r="C38"/>
  <c r="B45"/>
  <c r="B46"/>
  <c r="D45"/>
  <c r="D46"/>
  <c r="C45"/>
  <c r="C46"/>
  <c r="F35" i="19" l="1"/>
  <c r="B35"/>
  <c r="F29"/>
  <c r="B29"/>
  <c r="F31"/>
  <c r="B31"/>
  <c r="F30"/>
  <c r="G30" s="1"/>
  <c r="B30"/>
  <c r="C30" s="1"/>
  <c r="K22"/>
  <c r="I22"/>
  <c r="L6" i="18"/>
  <c r="I18"/>
  <c r="B26" s="1"/>
  <c r="C26" s="1"/>
  <c r="B34" s="1"/>
  <c r="K3"/>
  <c r="J4"/>
  <c r="K4" s="1"/>
  <c r="J5"/>
  <c r="K5" s="1"/>
  <c r="F35" i="17"/>
  <c r="B35"/>
  <c r="F29"/>
  <c r="B29"/>
  <c r="F31"/>
  <c r="B31"/>
  <c r="C31" s="1"/>
  <c r="F30"/>
  <c r="G30" s="1"/>
  <c r="B30"/>
  <c r="C30" s="1"/>
  <c r="K22"/>
  <c r="I22"/>
  <c r="I15" i="16"/>
  <c r="B23" s="1"/>
  <c r="L3"/>
  <c r="J4"/>
  <c r="K4" s="1"/>
  <c r="J5"/>
  <c r="K5" s="1"/>
  <c r="J6"/>
  <c r="K6" s="1"/>
  <c r="J7"/>
  <c r="K7" s="1"/>
  <c r="F27"/>
  <c r="F30" i="15"/>
  <c r="B30"/>
  <c r="F31"/>
  <c r="B31"/>
  <c r="I22"/>
  <c r="K22"/>
  <c r="B29"/>
  <c r="F29"/>
  <c r="B35"/>
  <c r="L6" i="14"/>
  <c r="I18"/>
  <c r="B26" s="1"/>
  <c r="C26" s="1"/>
  <c r="B34" s="1"/>
  <c r="J3"/>
  <c r="J4"/>
  <c r="K4" s="1"/>
  <c r="J5"/>
  <c r="K5" s="1"/>
  <c r="F35" i="13"/>
  <c r="B35"/>
  <c r="F29"/>
  <c r="B29"/>
  <c r="F31"/>
  <c r="B31"/>
  <c r="F30"/>
  <c r="B30"/>
  <c r="C30" s="1"/>
  <c r="K22"/>
  <c r="I22"/>
  <c r="J3" i="12"/>
  <c r="K3" s="1"/>
  <c r="J4"/>
  <c r="K4" s="1"/>
  <c r="J5"/>
  <c r="K5" s="1"/>
  <c r="J6"/>
  <c r="K6" s="1"/>
  <c r="F31" i="11"/>
  <c r="B31"/>
  <c r="F30"/>
  <c r="G30" s="1"/>
  <c r="F29"/>
  <c r="B29"/>
  <c r="I22"/>
  <c r="J22"/>
  <c r="B30"/>
  <c r="C30" s="1"/>
  <c r="G35" i="19" l="1"/>
  <c r="C35"/>
  <c r="F32"/>
  <c r="G29"/>
  <c r="G31"/>
  <c r="B32"/>
  <c r="C29"/>
  <c r="C32" s="1"/>
  <c r="C31"/>
  <c r="L5" i="18"/>
  <c r="I17"/>
  <c r="B25" s="1"/>
  <c r="C25" s="1"/>
  <c r="B33" s="1"/>
  <c r="I15"/>
  <c r="B23" s="1"/>
  <c r="C23" s="1"/>
  <c r="L3"/>
  <c r="L4"/>
  <c r="I16"/>
  <c r="B24" s="1"/>
  <c r="C24" s="1"/>
  <c r="B32" s="1"/>
  <c r="J7"/>
  <c r="K7" s="1"/>
  <c r="G35" i="17"/>
  <c r="C35"/>
  <c r="F32"/>
  <c r="G29"/>
  <c r="G31"/>
  <c r="B32"/>
  <c r="C29"/>
  <c r="C32" s="1"/>
  <c r="I17" i="16"/>
  <c r="B25" s="1"/>
  <c r="L5"/>
  <c r="C23"/>
  <c r="F23"/>
  <c r="I18"/>
  <c r="B26" s="1"/>
  <c r="L6"/>
  <c r="I16"/>
  <c r="B24" s="1"/>
  <c r="L4"/>
  <c r="L7"/>
  <c r="F32" i="15"/>
  <c r="G29"/>
  <c r="G31"/>
  <c r="G30"/>
  <c r="B32"/>
  <c r="C29"/>
  <c r="G35"/>
  <c r="C35"/>
  <c r="C31"/>
  <c r="C30"/>
  <c r="L4" i="14"/>
  <c r="I16"/>
  <c r="B24" s="1"/>
  <c r="C24" s="1"/>
  <c r="B32" s="1"/>
  <c r="L5"/>
  <c r="I17"/>
  <c r="B25" s="1"/>
  <c r="C25" s="1"/>
  <c r="B33" s="1"/>
  <c r="J7"/>
  <c r="K7" s="1"/>
  <c r="L7" s="1"/>
  <c r="K3"/>
  <c r="G35" i="13"/>
  <c r="C35"/>
  <c r="F32"/>
  <c r="G29"/>
  <c r="B32"/>
  <c r="C29"/>
  <c r="G31"/>
  <c r="G30"/>
  <c r="C31"/>
  <c r="L4" i="12"/>
  <c r="I16"/>
  <c r="B24" s="1"/>
  <c r="C24" s="1"/>
  <c r="B32" s="1"/>
  <c r="L6"/>
  <c r="I18"/>
  <c r="B26" s="1"/>
  <c r="C26" s="1"/>
  <c r="B34" s="1"/>
  <c r="L5"/>
  <c r="I17"/>
  <c r="B25" s="1"/>
  <c r="C25" s="1"/>
  <c r="B33" s="1"/>
  <c r="I15"/>
  <c r="B23" s="1"/>
  <c r="C23" s="1"/>
  <c r="L3"/>
  <c r="L7" s="1"/>
  <c r="G35" i="11"/>
  <c r="C35"/>
  <c r="B32"/>
  <c r="C29"/>
  <c r="G31"/>
  <c r="F32"/>
  <c r="G29"/>
  <c r="G32" s="1"/>
  <c r="C31"/>
  <c r="B38" i="19" l="1"/>
  <c r="B39" s="1"/>
  <c r="G32"/>
  <c r="F38" s="1"/>
  <c r="F39" s="1"/>
  <c r="B40" i="18"/>
  <c r="B31"/>
  <c r="C40"/>
  <c r="C33"/>
  <c r="C35"/>
  <c r="C32"/>
  <c r="L7"/>
  <c r="B38" i="17"/>
  <c r="B39" s="1"/>
  <c r="G32"/>
  <c r="F38" s="1"/>
  <c r="F39" s="1"/>
  <c r="F24" i="16"/>
  <c r="C24"/>
  <c r="B32" s="1"/>
  <c r="F26"/>
  <c r="C26"/>
  <c r="B34" s="1"/>
  <c r="B40"/>
  <c r="B31"/>
  <c r="C40"/>
  <c r="C25"/>
  <c r="B33" s="1"/>
  <c r="C33" s="1"/>
  <c r="F25"/>
  <c r="C32" i="15"/>
  <c r="B38" s="1"/>
  <c r="B39" s="1"/>
  <c r="G32"/>
  <c r="F38" s="1"/>
  <c r="F39" s="1"/>
  <c r="I15" i="14"/>
  <c r="B23" s="1"/>
  <c r="C23" s="1"/>
  <c r="L3"/>
  <c r="C32" i="13"/>
  <c r="B38" s="1"/>
  <c r="B39" s="1"/>
  <c r="G32"/>
  <c r="F38" s="1"/>
  <c r="F39" s="1"/>
  <c r="B40" i="12"/>
  <c r="B31"/>
  <c r="C40"/>
  <c r="C34"/>
  <c r="C35"/>
  <c r="C33"/>
  <c r="C32"/>
  <c r="B35" i="11"/>
  <c r="F35"/>
  <c r="F38"/>
  <c r="F39" s="1"/>
  <c r="C32"/>
  <c r="B38" s="1"/>
  <c r="B39" s="1"/>
  <c r="B36" i="18" l="1"/>
  <c r="C31"/>
  <c r="C34"/>
  <c r="B36" i="16"/>
  <c r="C31"/>
  <c r="C34"/>
  <c r="C35"/>
  <c r="C32"/>
  <c r="B40" i="14"/>
  <c r="B31"/>
  <c r="C40"/>
  <c r="B36" i="12"/>
  <c r="C31"/>
  <c r="C36" s="1"/>
  <c r="D43" i="18" l="1"/>
  <c r="D44" s="1"/>
  <c r="C43"/>
  <c r="C44" s="1"/>
  <c r="C36"/>
  <c r="B43" s="1"/>
  <c r="B44" s="1"/>
  <c r="D43" i="16"/>
  <c r="D44" s="1"/>
  <c r="C43"/>
  <c r="C44" s="1"/>
  <c r="C36"/>
  <c r="B43" s="1"/>
  <c r="B44" s="1"/>
  <c r="B36" i="14"/>
  <c r="C31"/>
  <c r="C33"/>
  <c r="C32"/>
  <c r="C34"/>
  <c r="C35"/>
  <c r="D43" i="12"/>
  <c r="D44" s="1"/>
  <c r="B43"/>
  <c r="B44" s="1"/>
  <c r="C43"/>
  <c r="C44" s="1"/>
  <c r="D43" i="14" l="1"/>
  <c r="D44" s="1"/>
  <c r="C43"/>
  <c r="C44" s="1"/>
  <c r="C36"/>
  <c r="B43" s="1"/>
  <c r="B44" s="1"/>
</calcChain>
</file>

<file path=xl/sharedStrings.xml><?xml version="1.0" encoding="utf-8"?>
<sst xmlns="http://schemas.openxmlformats.org/spreadsheetml/2006/main" count="620" uniqueCount="34">
  <si>
    <t>ESM-Einzahlung</t>
  </si>
  <si>
    <t>Bisheriger Kredit (10.4)</t>
  </si>
  <si>
    <t>Umschuldung in 2011</t>
  </si>
  <si>
    <t>Regulär</t>
  </si>
  <si>
    <t>Refinanzierungsbedarf (einschliesslich Neuverschuldung)</t>
  </si>
  <si>
    <t>Griechenland</t>
  </si>
  <si>
    <t>Portugal</t>
  </si>
  <si>
    <t>Irland</t>
  </si>
  <si>
    <t>Refinanzierungsbedarf bei Umschuldung (einschliesslich Neuverschuldung)</t>
  </si>
  <si>
    <t>Szenario 1</t>
  </si>
  <si>
    <t>GR mit Eigenanteil</t>
  </si>
  <si>
    <t>Deutscher Anteil</t>
  </si>
  <si>
    <t>Kosten der Szenarien</t>
  </si>
  <si>
    <t>Zinsen (Periodenende)</t>
  </si>
  <si>
    <t>Kredite</t>
  </si>
  <si>
    <t>Tilgungen</t>
  </si>
  <si>
    <t>Voll</t>
  </si>
  <si>
    <t>Partiell (1/3)</t>
  </si>
  <si>
    <t>Kosten</t>
  </si>
  <si>
    <t>Neue Finanzhilfen</t>
  </si>
  <si>
    <t>Gesamt</t>
  </si>
  <si>
    <t>Szenario 3</t>
  </si>
  <si>
    <t>Umschuldung</t>
  </si>
  <si>
    <t>Szenario 4</t>
  </si>
  <si>
    <t>Umschuldung (2011/12-2014) des Refinanzierungsbedarfs</t>
  </si>
  <si>
    <t>Tilgung</t>
  </si>
  <si>
    <t>Kein (0)</t>
  </si>
  <si>
    <t>Spanischer Anteil</t>
  </si>
  <si>
    <t>Französischer Anteil</t>
  </si>
  <si>
    <t>Italienischer Anteil</t>
  </si>
  <si>
    <t>Szenario 2</t>
  </si>
  <si>
    <t>Szenario 5</t>
  </si>
  <si>
    <t>Neues Rettungspaket (EU Anteil 80 Mrd), bis 2014</t>
  </si>
  <si>
    <t>Refinanzierungsbedarf (einschliesslich Neuverschuldung und zweites Paket)</t>
  </si>
</sst>
</file>

<file path=xl/styles.xml><?xml version="1.0" encoding="utf-8"?>
<styleSheet xmlns="http://schemas.openxmlformats.org/spreadsheetml/2006/main">
  <numFmts count="2">
    <numFmt numFmtId="164" formatCode="0.00000"/>
    <numFmt numFmtId="165" formatCode="0.000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16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right"/>
    </xf>
    <xf numFmtId="165" fontId="1" fillId="0" borderId="0" xfId="0" applyNumberFormat="1" applyFont="1"/>
    <xf numFmtId="164" fontId="1" fillId="0" borderId="0" xfId="0" applyNumberFormat="1" applyFont="1"/>
    <xf numFmtId="0" fontId="0" fillId="0" borderId="0" xfId="0" applyFont="1"/>
    <xf numFmtId="0" fontId="0" fillId="2" borderId="0" xfId="0" applyFill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>
      <selection activeCell="D31" sqref="D31"/>
    </sheetView>
  </sheetViews>
  <sheetFormatPr baseColWidth="10" defaultRowHeight="15"/>
  <sheetData>
    <row r="1" spans="1:7">
      <c r="E1" t="s">
        <v>3</v>
      </c>
      <c r="F1" t="s">
        <v>2</v>
      </c>
    </row>
    <row r="2" spans="1:7">
      <c r="A2" s="1" t="s">
        <v>0</v>
      </c>
      <c r="D2" s="1" t="s">
        <v>1</v>
      </c>
      <c r="E2">
        <v>-10.4</v>
      </c>
      <c r="F2">
        <v>-10.4</v>
      </c>
    </row>
    <row r="3" spans="1:7">
      <c r="A3">
        <v>1</v>
      </c>
      <c r="B3">
        <v>4.4000000000000004</v>
      </c>
      <c r="C3">
        <f>B3/1.03</f>
        <v>4.2718446601941746</v>
      </c>
      <c r="D3">
        <v>1</v>
      </c>
      <c r="E3">
        <f>0.06*10.4/1.03</f>
        <v>0.60582524271844662</v>
      </c>
      <c r="F3">
        <f>0.06*5.2/1.03</f>
        <v>0.30291262135922331</v>
      </c>
    </row>
    <row r="4" spans="1:7">
      <c r="A4">
        <v>2</v>
      </c>
      <c r="B4">
        <v>4.4000000000000004</v>
      </c>
      <c r="C4">
        <f>B4/1.03^2</f>
        <v>4.14742200018852</v>
      </c>
      <c r="D4">
        <v>2</v>
      </c>
      <c r="E4">
        <f>0.06*(10.4+0.06*10.4)/1.03^2</f>
        <v>0.62347063813743053</v>
      </c>
      <c r="F4">
        <f>0.06*(5.2+0.06*5.2)/1.03^2</f>
        <v>0.31173531906871527</v>
      </c>
    </row>
    <row r="5" spans="1:7">
      <c r="A5">
        <v>3</v>
      </c>
      <c r="B5">
        <v>4.4000000000000004</v>
      </c>
      <c r="C5">
        <f>B5/1.03^3</f>
        <v>4.0266233011539025</v>
      </c>
      <c r="D5">
        <v>3</v>
      </c>
      <c r="E5">
        <f>0.06*(10.4+0.06*10.4+0.06^2*10.4)/1.03^3</f>
        <v>0.60736707338612483</v>
      </c>
      <c r="F5">
        <f>0.06*(5.2+0.06*5.2+0.06^2*5.2)/1.03^3</f>
        <v>0.30368353669306242</v>
      </c>
    </row>
    <row r="6" spans="1:7">
      <c r="A6">
        <v>4</v>
      </c>
      <c r="B6">
        <v>4.4000000000000004</v>
      </c>
      <c r="C6">
        <f>B6/1.03^4</f>
        <v>3.9093430108290317</v>
      </c>
    </row>
    <row r="7" spans="1:7">
      <c r="A7">
        <v>5</v>
      </c>
      <c r="B7">
        <v>4.4000000000000004</v>
      </c>
      <c r="C7">
        <f>B7/1.03^5</f>
        <v>3.7954786512903222</v>
      </c>
    </row>
    <row r="8" spans="1:7">
      <c r="C8">
        <f>SUM(C3:C7)</f>
        <v>20.150711623655951</v>
      </c>
      <c r="E8">
        <f>SUM(E3:E7)</f>
        <v>1.8366629542420019</v>
      </c>
      <c r="F8">
        <f>SUM(F3:F7)</f>
        <v>0.91833147712100094</v>
      </c>
    </row>
    <row r="9" spans="1:7">
      <c r="E9">
        <f>10.4/(1.03)^3</f>
        <v>9.5174732572728598</v>
      </c>
      <c r="F9">
        <f>5.2/1.03^3</f>
        <v>4.7587366286364299</v>
      </c>
    </row>
    <row r="10" spans="1:7">
      <c r="E10">
        <f>(E2)*(-1)-E8-E9</f>
        <v>-0.95413621151486083</v>
      </c>
      <c r="F10">
        <f>F2*(-1)-F8-F9</f>
        <v>4.7229318942425698</v>
      </c>
    </row>
    <row r="13" spans="1:7">
      <c r="A13" s="1" t="s">
        <v>4</v>
      </c>
      <c r="F13" s="1" t="s">
        <v>8</v>
      </c>
    </row>
    <row r="14" spans="1:7">
      <c r="B14" t="s">
        <v>5</v>
      </c>
      <c r="C14" t="s">
        <v>6</v>
      </c>
      <c r="D14" t="s">
        <v>7</v>
      </c>
      <c r="E14" t="s">
        <v>5</v>
      </c>
      <c r="F14" t="s">
        <v>6</v>
      </c>
      <c r="G14" t="s">
        <v>7</v>
      </c>
    </row>
    <row r="15" spans="1:7">
      <c r="A15">
        <v>2011</v>
      </c>
      <c r="B15">
        <v>30</v>
      </c>
      <c r="C15">
        <v>19</v>
      </c>
      <c r="D15">
        <v>20</v>
      </c>
      <c r="E15">
        <f>B15/2</f>
        <v>15</v>
      </c>
      <c r="F15">
        <f>C15</f>
        <v>19</v>
      </c>
      <c r="G15">
        <f>D15</f>
        <v>20</v>
      </c>
    </row>
    <row r="16" spans="1:7">
      <c r="A16">
        <v>2012</v>
      </c>
      <c r="B16">
        <v>37</v>
      </c>
      <c r="C16">
        <v>18</v>
      </c>
      <c r="D16">
        <v>10</v>
      </c>
      <c r="E16">
        <f>B16/2</f>
        <v>18.5</v>
      </c>
      <c r="F16">
        <f>C16*0.67</f>
        <v>12.06</v>
      </c>
      <c r="G16">
        <f>0.67*D16</f>
        <v>6.7</v>
      </c>
    </row>
    <row r="17" spans="1:11">
      <c r="A17">
        <v>2013</v>
      </c>
      <c r="B17">
        <v>21</v>
      </c>
      <c r="C17">
        <v>19</v>
      </c>
      <c r="D17">
        <v>11</v>
      </c>
      <c r="E17">
        <f>B17/2</f>
        <v>10.5</v>
      </c>
      <c r="F17">
        <f>C17*0.67</f>
        <v>12.73</v>
      </c>
      <c r="G17">
        <f>0.67*D17</f>
        <v>7.37</v>
      </c>
    </row>
    <row r="20" spans="1:11">
      <c r="A20" s="1" t="s">
        <v>11</v>
      </c>
      <c r="I20" s="1" t="s">
        <v>24</v>
      </c>
    </row>
    <row r="21" spans="1:11">
      <c r="B21" t="s">
        <v>5</v>
      </c>
      <c r="C21" t="s">
        <v>6</v>
      </c>
      <c r="D21" t="s">
        <v>7</v>
      </c>
      <c r="E21" t="s">
        <v>5</v>
      </c>
      <c r="F21" t="s">
        <v>6</v>
      </c>
      <c r="G21" t="s">
        <v>7</v>
      </c>
      <c r="I21" t="s">
        <v>5</v>
      </c>
      <c r="J21" t="s">
        <v>6</v>
      </c>
      <c r="K21" t="s">
        <v>7</v>
      </c>
    </row>
    <row r="22" spans="1:11">
      <c r="A22">
        <v>2011</v>
      </c>
      <c r="B22">
        <f t="shared" ref="B22:D24" si="0">B15*0.279</f>
        <v>8.370000000000001</v>
      </c>
      <c r="C22">
        <f t="shared" si="0"/>
        <v>5.3010000000000002</v>
      </c>
      <c r="D22">
        <f t="shared" si="0"/>
        <v>5.58</v>
      </c>
      <c r="E22" s="9">
        <f>B22/2-7.2</f>
        <v>-3.0149999999999997</v>
      </c>
      <c r="F22">
        <f>C22</f>
        <v>5.3010000000000002</v>
      </c>
      <c r="G22">
        <f>D22</f>
        <v>5.58</v>
      </c>
      <c r="I22">
        <f>B22-E22+B23-E23+B24-E24+B26-F26</f>
        <v>19.476000000000003</v>
      </c>
      <c r="J22">
        <f>C23-F23+C24-F24+D26-G26</f>
        <v>5.1565899999999996</v>
      </c>
      <c r="K22">
        <f>D23-G23+D24-G24+E26-H26</f>
        <v>20.18347</v>
      </c>
    </row>
    <row r="23" spans="1:11">
      <c r="A23">
        <v>2012</v>
      </c>
      <c r="B23">
        <f t="shared" si="0"/>
        <v>10.323</v>
      </c>
      <c r="C23">
        <f t="shared" si="0"/>
        <v>5.0220000000000002</v>
      </c>
      <c r="D23">
        <f t="shared" si="0"/>
        <v>2.79</v>
      </c>
      <c r="E23">
        <f>B23/2</f>
        <v>5.1615000000000002</v>
      </c>
      <c r="F23" s="9">
        <f>0.67*C23-1.75</f>
        <v>1.6147400000000003</v>
      </c>
      <c r="G23" s="9">
        <f>0.67*D23-17.6-0.65</f>
        <v>-16.380700000000001</v>
      </c>
    </row>
    <row r="24" spans="1:11">
      <c r="A24">
        <v>2013</v>
      </c>
      <c r="B24">
        <f t="shared" si="0"/>
        <v>5.8590000000000009</v>
      </c>
      <c r="C24">
        <f t="shared" si="0"/>
        <v>5.3010000000000002</v>
      </c>
      <c r="D24">
        <f t="shared" si="0"/>
        <v>3.0690000000000004</v>
      </c>
      <c r="E24">
        <f>B24/2</f>
        <v>2.9295000000000004</v>
      </c>
      <c r="F24">
        <f>0.67*C24</f>
        <v>3.5516700000000001</v>
      </c>
      <c r="G24">
        <f>0.67*D24</f>
        <v>2.0562300000000002</v>
      </c>
    </row>
    <row r="27" spans="1:11">
      <c r="A27" s="1" t="s">
        <v>12</v>
      </c>
    </row>
    <row r="28" spans="1:11">
      <c r="A28" s="1" t="s">
        <v>21</v>
      </c>
      <c r="B28" t="s">
        <v>14</v>
      </c>
      <c r="C28" t="s">
        <v>13</v>
      </c>
      <c r="E28" s="1" t="s">
        <v>23</v>
      </c>
      <c r="F28" t="s">
        <v>14</v>
      </c>
      <c r="G28" t="s">
        <v>13</v>
      </c>
    </row>
    <row r="29" spans="1:11">
      <c r="A29">
        <v>2011</v>
      </c>
      <c r="B29">
        <f>E22</f>
        <v>-3.0149999999999997</v>
      </c>
      <c r="C29">
        <f>0.06*B29/1.03</f>
        <v>-0.17563106796116501</v>
      </c>
      <c r="E29">
        <v>2011</v>
      </c>
      <c r="F29">
        <f>E22</f>
        <v>-3.0149999999999997</v>
      </c>
      <c r="G29">
        <f>0.06*F29/1.03</f>
        <v>-0.17563106796116501</v>
      </c>
    </row>
    <row r="30" spans="1:11">
      <c r="A30">
        <v>2012</v>
      </c>
      <c r="B30">
        <f>E23/1.03</f>
        <v>5.0111650485436892</v>
      </c>
      <c r="C30">
        <f>(0.06*(B30+B29))/1.03^2</f>
        <v>0.11289462052278383</v>
      </c>
      <c r="E30">
        <v>2012</v>
      </c>
      <c r="F30">
        <f>(E23+F23+G23)/1.03</f>
        <v>-9.3247184466019419</v>
      </c>
      <c r="G30">
        <f>(0.06*(F30+F29))/1.03^2</f>
        <v>-0.69788208765775905</v>
      </c>
    </row>
    <row r="31" spans="1:11">
      <c r="A31">
        <v>2013</v>
      </c>
      <c r="B31">
        <f>E24/1.03^2</f>
        <v>2.761334715807334</v>
      </c>
      <c r="C31">
        <f>(0.06*(B31+B30+B29))/1.03^3</f>
        <v>0.26122717372322768</v>
      </c>
      <c r="E31">
        <v>2013</v>
      </c>
      <c r="F31">
        <f>(E24+F24+G24)/1.03^2</f>
        <v>8.0473183146385168</v>
      </c>
      <c r="G31">
        <f>(0.06*(F31+F30+F29))/1.03^3</f>
        <v>-0.23568925076236374</v>
      </c>
    </row>
    <row r="32" spans="1:11">
      <c r="B32">
        <f>SUM(B29:B31)</f>
        <v>4.7574997643510235</v>
      </c>
      <c r="C32">
        <f>SUM(C29:C31)</f>
        <v>0.19849072628484649</v>
      </c>
      <c r="F32">
        <f>SUM(F29:F31)</f>
        <v>-4.2924001319634257</v>
      </c>
      <c r="G32">
        <f>SUM(G29:G31)</f>
        <v>-1.1092024063812878</v>
      </c>
    </row>
    <row r="34" spans="1:9">
      <c r="B34" t="s">
        <v>25</v>
      </c>
      <c r="C34" t="s">
        <v>22</v>
      </c>
      <c r="F34" t="s">
        <v>25</v>
      </c>
      <c r="G34" t="s">
        <v>22</v>
      </c>
      <c r="I34" s="1"/>
    </row>
    <row r="35" spans="1:9">
      <c r="B35">
        <f>B32/(1.03)^3</f>
        <v>4.3537862287204616</v>
      </c>
      <c r="C35" s="3">
        <f>I22</f>
        <v>19.476000000000003</v>
      </c>
      <c r="F35">
        <f>F32/1.03^3</f>
        <v>-3.9281541793727306</v>
      </c>
      <c r="G35" s="4">
        <f>I22+J22+K22</f>
        <v>44.81606</v>
      </c>
    </row>
    <row r="37" spans="1:9">
      <c r="A37" s="1" t="s">
        <v>18</v>
      </c>
      <c r="E37" s="1" t="s">
        <v>18</v>
      </c>
    </row>
    <row r="38" spans="1:9">
      <c r="A38" t="s">
        <v>19</v>
      </c>
      <c r="B38" s="3">
        <f>B32-C32-B35+C35</f>
        <v>19.681222809345719</v>
      </c>
      <c r="E38" t="s">
        <v>19</v>
      </c>
      <c r="F38" s="4">
        <f>F32-F35-G32+G35</f>
        <v>45.561016453790593</v>
      </c>
    </row>
    <row r="39" spans="1:9">
      <c r="A39" t="s">
        <v>20</v>
      </c>
      <c r="B39" s="7">
        <f>B38+C8+F10</f>
        <v>44.554866327244241</v>
      </c>
      <c r="E39" t="s">
        <v>20</v>
      </c>
      <c r="F39" s="6">
        <f>C8+F10+F38</f>
        <v>70.434659971689115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4"/>
  <sheetViews>
    <sheetView workbookViewId="0">
      <selection activeCell="D35" sqref="D35"/>
    </sheetView>
  </sheetViews>
  <sheetFormatPr baseColWidth="10" defaultRowHeight="15"/>
  <sheetData>
    <row r="1" spans="1:14">
      <c r="E1" t="s">
        <v>3</v>
      </c>
      <c r="F1" t="s">
        <v>2</v>
      </c>
    </row>
    <row r="2" spans="1:14">
      <c r="A2" s="1" t="s">
        <v>0</v>
      </c>
      <c r="D2" s="1" t="s">
        <v>1</v>
      </c>
      <c r="E2">
        <v>-10.4</v>
      </c>
      <c r="F2">
        <v>-10.4</v>
      </c>
      <c r="I2" s="1" t="s">
        <v>32</v>
      </c>
    </row>
    <row r="3" spans="1:14">
      <c r="A3">
        <v>2011</v>
      </c>
      <c r="D3">
        <v>2011</v>
      </c>
      <c r="E3">
        <f>0.06*10.4/1.03</f>
        <v>0.60582524271844662</v>
      </c>
      <c r="F3">
        <f>0.06*5.2/1.03</f>
        <v>0.30291262135922331</v>
      </c>
      <c r="H3">
        <v>2011</v>
      </c>
      <c r="I3">
        <f>B15+B16+B17+B18</f>
        <v>123</v>
      </c>
      <c r="J3">
        <f>B15/$I$3</f>
        <v>0.24390243902439024</v>
      </c>
      <c r="K3">
        <f>J3*80</f>
        <v>19.512195121951219</v>
      </c>
      <c r="L3">
        <f>K3*0.279</f>
        <v>5.4439024390243906</v>
      </c>
    </row>
    <row r="4" spans="1:14">
      <c r="A4">
        <v>2012</v>
      </c>
      <c r="D4">
        <v>2012</v>
      </c>
      <c r="E4">
        <f>0.06*(10.4)/1.03^2</f>
        <v>0.58817984729946271</v>
      </c>
      <c r="F4">
        <f>0.06*(5.2)/1.03^2</f>
        <v>0.29408992364973136</v>
      </c>
      <c r="H4">
        <v>2012</v>
      </c>
      <c r="J4">
        <f>B16/$I$3</f>
        <v>0.30081300813008133</v>
      </c>
      <c r="K4">
        <f>J4*80</f>
        <v>24.065040650406505</v>
      </c>
      <c r="L4">
        <f>K4*0.279</f>
        <v>6.7141463414634153</v>
      </c>
    </row>
    <row r="5" spans="1:14">
      <c r="A5">
        <v>2013</v>
      </c>
      <c r="B5">
        <v>4.4000000000000004</v>
      </c>
      <c r="C5">
        <f>B5/1.03^3</f>
        <v>4.0266233011539025</v>
      </c>
      <c r="D5">
        <v>2013</v>
      </c>
      <c r="E5">
        <f>0.06*(10.4)/1.03^3</f>
        <v>0.57104839543637154</v>
      </c>
      <c r="F5">
        <f>0.06*(5.2)/1.03^3</f>
        <v>0.28552419771818577</v>
      </c>
      <c r="H5">
        <v>2013</v>
      </c>
      <c r="J5">
        <f>B17/$I$3</f>
        <v>0.17073170731707318</v>
      </c>
      <c r="K5">
        <f>J5*80</f>
        <v>13.658536585365855</v>
      </c>
      <c r="L5">
        <f>K5*0.279</f>
        <v>3.8107317073170739</v>
      </c>
    </row>
    <row r="6" spans="1:14">
      <c r="A6">
        <v>2014</v>
      </c>
      <c r="B6">
        <v>4.4000000000000004</v>
      </c>
      <c r="C6">
        <f>B6/1.03^4</f>
        <v>3.9093430108290317</v>
      </c>
      <c r="D6">
        <v>2014</v>
      </c>
      <c r="E6">
        <f>0.06*(10.4)/1.03^4</f>
        <v>0.55441591789938993</v>
      </c>
      <c r="F6">
        <f>0.06*(5.2)/1.03^4</f>
        <v>0.27720795894969497</v>
      </c>
      <c r="H6">
        <v>2014</v>
      </c>
      <c r="J6">
        <f>B18/$I$3</f>
        <v>0.28455284552845528</v>
      </c>
      <c r="K6">
        <f>J6*80</f>
        <v>22.764227642276424</v>
      </c>
      <c r="L6">
        <f>K6*0.279</f>
        <v>6.3512195121951232</v>
      </c>
    </row>
    <row r="7" spans="1:14">
      <c r="A7">
        <v>2015</v>
      </c>
      <c r="B7">
        <v>4.4000000000000004</v>
      </c>
      <c r="C7">
        <f>B7/1.03^5</f>
        <v>3.7954786512903222</v>
      </c>
      <c r="D7">
        <v>2015</v>
      </c>
      <c r="E7">
        <f>0.06*(10.4)/1.03^5</f>
        <v>0.53826788145571836</v>
      </c>
      <c r="F7">
        <f>0.06*(5.2)/1.03^5</f>
        <v>0.26913394072785918</v>
      </c>
      <c r="J7">
        <f>B19/$I$3</f>
        <v>0.2032520325203252</v>
      </c>
      <c r="K7">
        <f>J7*80</f>
        <v>16.260162601626014</v>
      </c>
      <c r="L7">
        <f>SUM(L3:L6)</f>
        <v>22.320000000000004</v>
      </c>
    </row>
    <row r="8" spans="1:14">
      <c r="A8">
        <v>2016</v>
      </c>
      <c r="B8">
        <v>4.4000000000000004</v>
      </c>
      <c r="C8">
        <f>B8/1.03^6</f>
        <v>3.6849307294080798</v>
      </c>
      <c r="E8">
        <f>SUM(E3:E7)</f>
        <v>2.8577372848093892</v>
      </c>
      <c r="F8">
        <f>SUM(F3:F7)</f>
        <v>1.4288686424046946</v>
      </c>
    </row>
    <row r="9" spans="1:14">
      <c r="A9">
        <v>2017</v>
      </c>
      <c r="B9">
        <v>4.4000000000000004</v>
      </c>
      <c r="C9">
        <f>B9/1.03^7</f>
        <v>3.5776026499107569</v>
      </c>
      <c r="E9">
        <f>10.4/(1.03)^5</f>
        <v>8.9711313575953078</v>
      </c>
      <c r="F9">
        <f>5.2/1.03^5</f>
        <v>4.4855656787976539</v>
      </c>
    </row>
    <row r="10" spans="1:14">
      <c r="C10">
        <f>SUM(C5:C9)</f>
        <v>18.993978342592094</v>
      </c>
      <c r="E10">
        <f>(E2)*(-1)-E8-E9</f>
        <v>-1.4288686424046961</v>
      </c>
      <c r="F10">
        <f>(F2)*(-1)-F8-F9</f>
        <v>4.4855656787976521</v>
      </c>
    </row>
    <row r="13" spans="1:14">
      <c r="A13" s="1" t="s">
        <v>4</v>
      </c>
      <c r="I13" s="1" t="s">
        <v>33</v>
      </c>
      <c r="N13" s="1"/>
    </row>
    <row r="14" spans="1:14">
      <c r="B14" t="s">
        <v>5</v>
      </c>
      <c r="C14" t="s">
        <v>10</v>
      </c>
      <c r="D14" t="s">
        <v>6</v>
      </c>
      <c r="E14" t="s">
        <v>7</v>
      </c>
      <c r="I14" t="s">
        <v>5</v>
      </c>
      <c r="J14" t="s">
        <v>10</v>
      </c>
      <c r="K14" t="s">
        <v>6</v>
      </c>
      <c r="L14" t="s">
        <v>7</v>
      </c>
    </row>
    <row r="15" spans="1:14">
      <c r="A15">
        <v>2011</v>
      </c>
      <c r="B15">
        <v>30</v>
      </c>
      <c r="C15">
        <f>B15-5</f>
        <v>25</v>
      </c>
      <c r="D15">
        <v>19</v>
      </c>
      <c r="E15">
        <v>20</v>
      </c>
      <c r="H15">
        <v>2011</v>
      </c>
      <c r="I15">
        <f>B15+K3</f>
        <v>49.512195121951223</v>
      </c>
      <c r="J15">
        <v>39.512195121951223</v>
      </c>
      <c r="K15">
        <v>19</v>
      </c>
      <c r="L15">
        <v>20</v>
      </c>
    </row>
    <row r="16" spans="1:14">
      <c r="A16">
        <v>2012</v>
      </c>
      <c r="B16">
        <v>37</v>
      </c>
      <c r="C16">
        <f>B16-5</f>
        <v>32</v>
      </c>
      <c r="D16">
        <v>18</v>
      </c>
      <c r="E16">
        <v>10</v>
      </c>
      <c r="H16">
        <v>2012</v>
      </c>
      <c r="I16">
        <f>B16+K4</f>
        <v>61.065040650406502</v>
      </c>
      <c r="J16">
        <v>51.065040650406502</v>
      </c>
      <c r="K16">
        <v>18</v>
      </c>
      <c r="L16">
        <v>10</v>
      </c>
    </row>
    <row r="17" spans="1:12">
      <c r="A17">
        <v>2013</v>
      </c>
      <c r="B17">
        <v>21</v>
      </c>
      <c r="C17">
        <f>B17-5</f>
        <v>16</v>
      </c>
      <c r="D17">
        <v>19</v>
      </c>
      <c r="E17">
        <v>11</v>
      </c>
      <c r="H17">
        <v>2013</v>
      </c>
      <c r="I17">
        <f>B17+K5</f>
        <v>34.658536585365852</v>
      </c>
      <c r="J17">
        <v>24.658536585365852</v>
      </c>
      <c r="K17">
        <v>19</v>
      </c>
      <c r="L17">
        <v>11</v>
      </c>
    </row>
    <row r="18" spans="1:12">
      <c r="A18">
        <v>2014</v>
      </c>
      <c r="B18">
        <v>35</v>
      </c>
      <c r="C18">
        <f>B18-5</f>
        <v>30</v>
      </c>
      <c r="D18">
        <v>19</v>
      </c>
      <c r="E18">
        <v>14</v>
      </c>
      <c r="H18">
        <v>2014</v>
      </c>
      <c r="I18">
        <f>B18+K6</f>
        <v>57.764227642276424</v>
      </c>
      <c r="J18">
        <v>47.764227642276424</v>
      </c>
      <c r="K18">
        <v>19</v>
      </c>
      <c r="L18">
        <v>14</v>
      </c>
    </row>
    <row r="19" spans="1:12">
      <c r="A19">
        <v>2015</v>
      </c>
      <c r="B19">
        <v>25</v>
      </c>
      <c r="C19">
        <f>B19-5</f>
        <v>20</v>
      </c>
      <c r="D19">
        <v>19</v>
      </c>
      <c r="E19">
        <v>14</v>
      </c>
      <c r="H19">
        <v>2015</v>
      </c>
      <c r="I19">
        <f>B19</f>
        <v>25</v>
      </c>
      <c r="J19">
        <v>15</v>
      </c>
      <c r="K19">
        <v>19</v>
      </c>
      <c r="L19">
        <v>14</v>
      </c>
    </row>
    <row r="21" spans="1:12">
      <c r="A21" s="1" t="s">
        <v>11</v>
      </c>
      <c r="J21" s="1"/>
    </row>
    <row r="22" spans="1:12">
      <c r="B22" t="s">
        <v>5</v>
      </c>
      <c r="C22" t="s">
        <v>10</v>
      </c>
      <c r="D22" t="s">
        <v>6</v>
      </c>
      <c r="E22" t="s">
        <v>7</v>
      </c>
    </row>
    <row r="23" spans="1:12">
      <c r="A23">
        <v>2011</v>
      </c>
      <c r="B23">
        <f>I15*0.279</f>
        <v>13.813902439024393</v>
      </c>
      <c r="C23">
        <f>B23-5*0.279</f>
        <v>12.418902439024393</v>
      </c>
      <c r="D23">
        <f t="shared" ref="D23:E27" si="0">D15*0.279</f>
        <v>5.3010000000000002</v>
      </c>
      <c r="E23">
        <f t="shared" si="0"/>
        <v>5.58</v>
      </c>
    </row>
    <row r="24" spans="1:12">
      <c r="A24">
        <v>2012</v>
      </c>
      <c r="B24">
        <f>I16*0.279</f>
        <v>17.037146341463416</v>
      </c>
      <c r="C24">
        <f>B24-5*0.279</f>
        <v>15.642146341463416</v>
      </c>
      <c r="D24">
        <f t="shared" si="0"/>
        <v>5.0220000000000002</v>
      </c>
      <c r="E24">
        <f t="shared" si="0"/>
        <v>2.79</v>
      </c>
    </row>
    <row r="25" spans="1:12">
      <c r="A25">
        <v>2013</v>
      </c>
      <c r="B25">
        <f>I17*0.279</f>
        <v>9.669731707317073</v>
      </c>
      <c r="C25">
        <f>B25-5*0.279</f>
        <v>8.2747317073170734</v>
      </c>
      <c r="D25">
        <f t="shared" si="0"/>
        <v>5.3010000000000002</v>
      </c>
      <c r="E25">
        <f t="shared" si="0"/>
        <v>3.0690000000000004</v>
      </c>
    </row>
    <row r="26" spans="1:12">
      <c r="A26">
        <v>2014</v>
      </c>
      <c r="B26">
        <f>I18*0.279</f>
        <v>16.116219512195123</v>
      </c>
      <c r="C26">
        <f>B26-5*0.279</f>
        <v>14.721219512195123</v>
      </c>
      <c r="D26">
        <f t="shared" si="0"/>
        <v>5.3010000000000002</v>
      </c>
      <c r="E26">
        <f t="shared" si="0"/>
        <v>3.9060000000000006</v>
      </c>
    </row>
    <row r="27" spans="1:12">
      <c r="A27">
        <v>2015</v>
      </c>
      <c r="B27">
        <f>I19*0.279</f>
        <v>6.9750000000000005</v>
      </c>
      <c r="C27">
        <f>B27-5*0.279</f>
        <v>5.58</v>
      </c>
      <c r="D27">
        <f t="shared" si="0"/>
        <v>5.3010000000000002</v>
      </c>
      <c r="E27">
        <f t="shared" si="0"/>
        <v>3.9060000000000006</v>
      </c>
    </row>
    <row r="29" spans="1:12">
      <c r="A29" s="1" t="s">
        <v>12</v>
      </c>
    </row>
    <row r="30" spans="1:12">
      <c r="A30" s="1"/>
      <c r="B30" t="s">
        <v>14</v>
      </c>
      <c r="C30" t="s">
        <v>13</v>
      </c>
      <c r="E30" s="1"/>
      <c r="I30" s="1"/>
    </row>
    <row r="31" spans="1:12">
      <c r="A31">
        <v>2011</v>
      </c>
      <c r="B31">
        <f>C23</f>
        <v>12.418902439024393</v>
      </c>
      <c r="C31">
        <f>0.06*B31/1.03</f>
        <v>0.7234312100402559</v>
      </c>
    </row>
    <row r="32" spans="1:12">
      <c r="A32">
        <v>2012</v>
      </c>
      <c r="B32">
        <f>C24/1.03</f>
        <v>15.186549846080986</v>
      </c>
      <c r="C32">
        <f>(0.06*(B32+B31))/1.03^2</f>
        <v>1.5612471836236428</v>
      </c>
    </row>
    <row r="33" spans="1:11">
      <c r="A33">
        <v>2013</v>
      </c>
      <c r="B33">
        <f>C25/1.03^2</f>
        <v>7.799728256496441</v>
      </c>
      <c r="C33">
        <f>(0.06*(B33+B32+B31))/1.03^3</f>
        <v>1.9440453402323812</v>
      </c>
    </row>
    <row r="34" spans="1:11">
      <c r="A34">
        <v>2014</v>
      </c>
      <c r="B34">
        <f>C26/1.03^3</f>
        <v>13.472001252092355</v>
      </c>
      <c r="C34">
        <f>(0.06*(B34+B33+B32+B31))/1.03^4</f>
        <v>2.6056045777390677</v>
      </c>
    </row>
    <row r="35" spans="1:11">
      <c r="A35">
        <v>2015</v>
      </c>
      <c r="B35">
        <f>C27/1.03^4</f>
        <v>4.9577577273695441</v>
      </c>
      <c r="C35">
        <f>(0.06*(B35+B34+B33+B32+B31))/1.03^5</f>
        <v>2.7863095042595858</v>
      </c>
    </row>
    <row r="36" spans="1:11">
      <c r="B36">
        <f>SUM(B31:B35)</f>
        <v>53.834939521063724</v>
      </c>
      <c r="C36">
        <f>SUM(C31:C35)</f>
        <v>9.6206378158949342</v>
      </c>
    </row>
    <row r="38" spans="1:11">
      <c r="B38" t="s">
        <v>15</v>
      </c>
    </row>
    <row r="39" spans="1:11">
      <c r="B39" t="s">
        <v>16</v>
      </c>
      <c r="C39" s="2" t="s">
        <v>17</v>
      </c>
      <c r="D39" s="5" t="s">
        <v>26</v>
      </c>
      <c r="G39" s="2"/>
      <c r="K39" s="2"/>
    </row>
    <row r="40" spans="1:11">
      <c r="B40">
        <f>SUM(C23:C27)/1.03^5</f>
        <v>48.855573721165904</v>
      </c>
      <c r="C40">
        <f>0.333*SUM(C23:C27)/1.03^5</f>
        <v>16.268906049148246</v>
      </c>
      <c r="D40">
        <v>0</v>
      </c>
    </row>
    <row r="42" spans="1:11">
      <c r="A42" s="1" t="s">
        <v>18</v>
      </c>
      <c r="B42" t="s">
        <v>9</v>
      </c>
      <c r="C42" t="s">
        <v>30</v>
      </c>
      <c r="D42" t="s">
        <v>21</v>
      </c>
      <c r="E42" s="1"/>
      <c r="I42" s="1"/>
    </row>
    <row r="43" spans="1:11">
      <c r="A43" t="s">
        <v>19</v>
      </c>
      <c r="B43">
        <f>B36-C36-B40</f>
        <v>-4.6412720159971101</v>
      </c>
      <c r="C43">
        <f>B36-C36-C40</f>
        <v>27.945395656020548</v>
      </c>
      <c r="D43">
        <f>B36-C36</f>
        <v>44.214301705168793</v>
      </c>
    </row>
    <row r="44" spans="1:11">
      <c r="A44" t="s">
        <v>20</v>
      </c>
      <c r="B44" s="1">
        <f>B43+C10+E10</f>
        <v>12.923837684190287</v>
      </c>
      <c r="C44" s="1">
        <f>C43+C10+E10</f>
        <v>45.510505356207943</v>
      </c>
      <c r="D44" s="1">
        <f>D43+C10+(-1)*E2-E8</f>
        <v>70.750542762951497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9"/>
  <sheetViews>
    <sheetView workbookViewId="0">
      <selection sqref="A1:IV65536"/>
    </sheetView>
  </sheetViews>
  <sheetFormatPr baseColWidth="10" defaultRowHeight="15"/>
  <sheetData>
    <row r="1" spans="1:7">
      <c r="E1" t="s">
        <v>3</v>
      </c>
      <c r="F1" t="s">
        <v>2</v>
      </c>
    </row>
    <row r="2" spans="1:7">
      <c r="A2" s="1" t="s">
        <v>0</v>
      </c>
      <c r="D2" s="1" t="s">
        <v>1</v>
      </c>
      <c r="E2">
        <v>-10.4</v>
      </c>
      <c r="F2">
        <v>-10.4</v>
      </c>
    </row>
    <row r="3" spans="1:7">
      <c r="A3">
        <v>2011</v>
      </c>
      <c r="D3">
        <v>2011</v>
      </c>
      <c r="E3">
        <f>0.06*10.4/1.03</f>
        <v>0.60582524271844662</v>
      </c>
      <c r="F3">
        <f>0.06*5.2/1.03</f>
        <v>0.30291262135922331</v>
      </c>
    </row>
    <row r="4" spans="1:7">
      <c r="A4">
        <v>2012</v>
      </c>
      <c r="D4">
        <v>2012</v>
      </c>
      <c r="E4">
        <f>0.06*(10.4)/1.03^2</f>
        <v>0.58817984729946271</v>
      </c>
      <c r="F4">
        <f>0.06*(5.2)/1.03^2</f>
        <v>0.29408992364973136</v>
      </c>
    </row>
    <row r="5" spans="1:7">
      <c r="A5">
        <v>2013</v>
      </c>
      <c r="B5">
        <v>4.4000000000000004</v>
      </c>
      <c r="C5">
        <f>B5/1.03^3</f>
        <v>4.0266233011539025</v>
      </c>
      <c r="D5">
        <v>2013</v>
      </c>
      <c r="E5">
        <f>0.06*(10.4)/1.03^3</f>
        <v>0.57104839543637154</v>
      </c>
      <c r="F5">
        <f>0.06*(5.2)/1.03^3</f>
        <v>0.28552419771818577</v>
      </c>
    </row>
    <row r="6" spans="1:7">
      <c r="A6">
        <v>2014</v>
      </c>
      <c r="B6">
        <v>4.4000000000000004</v>
      </c>
      <c r="C6">
        <f>B6/1.03^4</f>
        <v>3.9093430108290317</v>
      </c>
    </row>
    <row r="7" spans="1:7">
      <c r="A7">
        <v>2015</v>
      </c>
      <c r="B7">
        <v>4.4000000000000004</v>
      </c>
      <c r="C7">
        <f>B7/1.03^5</f>
        <v>3.7954786512903222</v>
      </c>
    </row>
    <row r="8" spans="1:7">
      <c r="A8">
        <v>2016</v>
      </c>
      <c r="B8">
        <v>4.4000000000000004</v>
      </c>
      <c r="C8">
        <f>B8/1.03^6</f>
        <v>3.6849307294080798</v>
      </c>
      <c r="E8">
        <f>SUM(E3:E7)</f>
        <v>1.7650534854542808</v>
      </c>
      <c r="F8">
        <f>SUM(F3:F7)</f>
        <v>0.88252674272714038</v>
      </c>
    </row>
    <row r="9" spans="1:7">
      <c r="A9">
        <v>2017</v>
      </c>
      <c r="B9">
        <v>4.4000000000000004</v>
      </c>
      <c r="C9">
        <f>B9/1.03^7</f>
        <v>3.5776026499107569</v>
      </c>
      <c r="E9">
        <f>10.4/(1.03)^3</f>
        <v>9.5174732572728598</v>
      </c>
      <c r="F9">
        <f>5.2/1.03^3</f>
        <v>4.7587366286364299</v>
      </c>
    </row>
    <row r="10" spans="1:7">
      <c r="C10">
        <f>SUM(C5:C9)</f>
        <v>18.993978342592094</v>
      </c>
      <c r="E10">
        <f>(E2)*(-1)-E8-E9</f>
        <v>-0.8825267427271406</v>
      </c>
      <c r="F10">
        <f>F2*(-1)-F8-F9</f>
        <v>4.7587366286364299</v>
      </c>
    </row>
    <row r="13" spans="1:7">
      <c r="A13" s="1" t="s">
        <v>4</v>
      </c>
      <c r="F13" s="1" t="s">
        <v>8</v>
      </c>
    </row>
    <row r="14" spans="1:7">
      <c r="B14" t="s">
        <v>5</v>
      </c>
      <c r="C14" t="s">
        <v>6</v>
      </c>
      <c r="D14" t="s">
        <v>7</v>
      </c>
      <c r="E14" t="s">
        <v>5</v>
      </c>
      <c r="F14" t="s">
        <v>6</v>
      </c>
      <c r="G14" t="s">
        <v>7</v>
      </c>
    </row>
    <row r="15" spans="1:7">
      <c r="A15">
        <v>2011</v>
      </c>
      <c r="B15">
        <v>49.512195121951223</v>
      </c>
      <c r="C15">
        <v>19</v>
      </c>
      <c r="D15">
        <v>20</v>
      </c>
      <c r="E15">
        <f>B15/2</f>
        <v>24.756097560975611</v>
      </c>
      <c r="F15">
        <f>C15</f>
        <v>19</v>
      </c>
      <c r="G15">
        <f>D15</f>
        <v>20</v>
      </c>
    </row>
    <row r="16" spans="1:7">
      <c r="A16">
        <v>2012</v>
      </c>
      <c r="B16">
        <v>61.065040650406502</v>
      </c>
      <c r="C16">
        <v>18</v>
      </c>
      <c r="D16">
        <v>10</v>
      </c>
      <c r="E16">
        <f>B16/2</f>
        <v>30.532520325203251</v>
      </c>
      <c r="F16">
        <f>C16*0.67</f>
        <v>12.06</v>
      </c>
      <c r="G16">
        <f>0.67*D16</f>
        <v>6.7</v>
      </c>
    </row>
    <row r="17" spans="1:11">
      <c r="A17">
        <v>2013</v>
      </c>
      <c r="B17">
        <v>34.658536585365852</v>
      </c>
      <c r="C17">
        <v>19</v>
      </c>
      <c r="D17">
        <v>11</v>
      </c>
      <c r="E17">
        <f>B17/2</f>
        <v>17.329268292682926</v>
      </c>
      <c r="F17">
        <f>C17*0.67</f>
        <v>12.73</v>
      </c>
      <c r="G17">
        <f>0.67*D17</f>
        <v>7.37</v>
      </c>
    </row>
    <row r="20" spans="1:11">
      <c r="A20" s="1" t="s">
        <v>11</v>
      </c>
      <c r="I20" s="1" t="s">
        <v>24</v>
      </c>
    </row>
    <row r="21" spans="1:11">
      <c r="B21" t="s">
        <v>5</v>
      </c>
      <c r="C21" t="s">
        <v>6</v>
      </c>
      <c r="D21" t="s">
        <v>7</v>
      </c>
      <c r="E21" t="s">
        <v>5</v>
      </c>
      <c r="F21" t="s">
        <v>6</v>
      </c>
      <c r="G21" t="s">
        <v>7</v>
      </c>
      <c r="I21" t="s">
        <v>5</v>
      </c>
      <c r="J21" t="s">
        <v>6</v>
      </c>
      <c r="K21" t="s">
        <v>7</v>
      </c>
    </row>
    <row r="22" spans="1:11">
      <c r="A22">
        <v>2011</v>
      </c>
      <c r="B22">
        <f t="shared" ref="B22:D24" si="0">B15*0.279</f>
        <v>13.813902439024393</v>
      </c>
      <c r="C22">
        <f t="shared" si="0"/>
        <v>5.3010000000000002</v>
      </c>
      <c r="D22">
        <f t="shared" si="0"/>
        <v>5.58</v>
      </c>
      <c r="E22">
        <f>B22/2</f>
        <v>6.9069512195121963</v>
      </c>
      <c r="F22">
        <f>C22</f>
        <v>5.3010000000000002</v>
      </c>
      <c r="G22">
        <f>D22</f>
        <v>5.58</v>
      </c>
      <c r="I22">
        <f>B22-E22+B23-E23+B24-E24</f>
        <v>20.260390243902442</v>
      </c>
      <c r="J22">
        <f>C23-F23+C24-F24</f>
        <v>3.40659</v>
      </c>
      <c r="K22">
        <f>D23-G23+D24-G24</f>
        <v>1.9334699999999998</v>
      </c>
    </row>
    <row r="23" spans="1:11">
      <c r="A23">
        <v>2012</v>
      </c>
      <c r="B23">
        <f t="shared" si="0"/>
        <v>17.037146341463416</v>
      </c>
      <c r="C23">
        <f t="shared" si="0"/>
        <v>5.0220000000000002</v>
      </c>
      <c r="D23">
        <f t="shared" si="0"/>
        <v>2.79</v>
      </c>
      <c r="E23">
        <f>B23/2</f>
        <v>8.5185731707317078</v>
      </c>
      <c r="F23">
        <f>0.67*C23</f>
        <v>3.3647400000000003</v>
      </c>
      <c r="G23">
        <f>0.67*D23</f>
        <v>1.8693000000000002</v>
      </c>
    </row>
    <row r="24" spans="1:11">
      <c r="A24">
        <v>2013</v>
      </c>
      <c r="B24">
        <f t="shared" si="0"/>
        <v>9.669731707317073</v>
      </c>
      <c r="C24">
        <f t="shared" si="0"/>
        <v>5.3010000000000002</v>
      </c>
      <c r="D24">
        <f t="shared" si="0"/>
        <v>3.0690000000000004</v>
      </c>
      <c r="E24">
        <f>B24/2</f>
        <v>4.8348658536585365</v>
      </c>
      <c r="F24">
        <f>0.67*C24</f>
        <v>3.5516700000000001</v>
      </c>
      <c r="G24">
        <f>0.67*D24</f>
        <v>2.0562300000000002</v>
      </c>
    </row>
    <row r="27" spans="1:11">
      <c r="A27" s="1" t="s">
        <v>12</v>
      </c>
    </row>
    <row r="28" spans="1:11">
      <c r="A28" s="1"/>
      <c r="B28" t="s">
        <v>14</v>
      </c>
      <c r="C28" t="s">
        <v>13</v>
      </c>
      <c r="E28" s="1"/>
      <c r="F28" t="s">
        <v>14</v>
      </c>
      <c r="G28" t="s">
        <v>13</v>
      </c>
    </row>
    <row r="29" spans="1:11">
      <c r="A29">
        <v>2011</v>
      </c>
      <c r="B29">
        <f>E22</f>
        <v>6.9069512195121963</v>
      </c>
      <c r="C29">
        <f>0.06*B29/1.03</f>
        <v>0.40234667298129301</v>
      </c>
      <c r="E29">
        <v>2011</v>
      </c>
      <c r="F29">
        <f>E22</f>
        <v>6.9069512195121963</v>
      </c>
      <c r="G29">
        <f>0.06*F29/1.03</f>
        <v>0.40234667298129301</v>
      </c>
    </row>
    <row r="30" spans="1:11">
      <c r="A30">
        <v>2012</v>
      </c>
      <c r="B30">
        <f>E23/1.03</f>
        <v>8.2704593890599103</v>
      </c>
      <c r="C30">
        <f>(0.06*(B30+B29))/1.03^2</f>
        <v>0.85836990905299881</v>
      </c>
      <c r="E30">
        <v>2012</v>
      </c>
      <c r="F30">
        <f>(E23+F23+G23)/1.03</f>
        <v>13.352051622069618</v>
      </c>
      <c r="G30">
        <f>(0.06*F30+0.06*(F29+G29))/1.03^2</f>
        <v>1.168518211776592</v>
      </c>
    </row>
    <row r="31" spans="1:11">
      <c r="A31">
        <v>2013</v>
      </c>
      <c r="B31">
        <f>E24/1.03^2</f>
        <v>4.5573247748690138</v>
      </c>
      <c r="C31">
        <f>(0.06*(B31+B30+B29))/1.03^3</f>
        <v>1.083604709141869</v>
      </c>
      <c r="E31">
        <v>2013</v>
      </c>
      <c r="F31">
        <f>(E24+F24+G24)/1.03^2</f>
        <v>9.8433083737001947</v>
      </c>
      <c r="G31">
        <f>(0.06*F31+0.06*(F30+G30)+0.06*(F29+G29)+0.06^2*(F29+G29))/1.03^3</f>
        <v>1.7632071307978756</v>
      </c>
    </row>
    <row r="32" spans="1:11">
      <c r="B32">
        <f>SUM(B29:B31)</f>
        <v>19.734735383441119</v>
      </c>
      <c r="C32">
        <f>SUM(C29:C31)</f>
        <v>2.3443212911761608</v>
      </c>
      <c r="F32">
        <f>SUM(F29:F31)</f>
        <v>30.102311215282008</v>
      </c>
      <c r="G32">
        <f>SUM(G29:G31)</f>
        <v>3.3340720155557606</v>
      </c>
    </row>
    <row r="34" spans="1:9">
      <c r="B34" t="s">
        <v>25</v>
      </c>
      <c r="C34" t="s">
        <v>22</v>
      </c>
      <c r="F34" t="s">
        <v>25</v>
      </c>
      <c r="G34" t="s">
        <v>22</v>
      </c>
      <c r="I34" s="1"/>
    </row>
    <row r="35" spans="1:9">
      <c r="B35">
        <f>SUM(E22:E24)/(1.03)^3</f>
        <v>18.541127146947446</v>
      </c>
      <c r="C35" s="3">
        <f>I22</f>
        <v>20.260390243902442</v>
      </c>
      <c r="F35">
        <f>(E22+E23+F23+G23+E24+F24+G24)/1.03^3</f>
        <v>28.463038109154841</v>
      </c>
      <c r="G35" s="4">
        <f>I22+J22+K22</f>
        <v>25.600450243902444</v>
      </c>
    </row>
    <row r="37" spans="1:9">
      <c r="A37" s="1" t="s">
        <v>23</v>
      </c>
      <c r="E37" s="1" t="s">
        <v>31</v>
      </c>
    </row>
    <row r="38" spans="1:9">
      <c r="A38" t="s">
        <v>19</v>
      </c>
      <c r="B38" s="3">
        <f>B32-C32-B35+C35</f>
        <v>19.109677189219955</v>
      </c>
      <c r="E38" t="s">
        <v>19</v>
      </c>
      <c r="F38" s="4">
        <f>F32-F35-G32+G35</f>
        <v>23.905651334473848</v>
      </c>
    </row>
    <row r="39" spans="1:9">
      <c r="A39" t="s">
        <v>20</v>
      </c>
      <c r="B39" s="7">
        <f>B38+C10+F10</f>
        <v>42.862392160448479</v>
      </c>
      <c r="E39" t="s">
        <v>20</v>
      </c>
      <c r="F39" s="6">
        <f>C10+F10+F38</f>
        <v>47.658366305702373</v>
      </c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4"/>
  <sheetViews>
    <sheetView workbookViewId="0">
      <selection sqref="A1:IV65536"/>
    </sheetView>
  </sheetViews>
  <sheetFormatPr baseColWidth="10" defaultRowHeight="15"/>
  <sheetData>
    <row r="1" spans="1:12">
      <c r="E1" t="s">
        <v>3</v>
      </c>
      <c r="F1" t="s">
        <v>2</v>
      </c>
    </row>
    <row r="2" spans="1:12">
      <c r="A2" s="1" t="s">
        <v>0</v>
      </c>
      <c r="D2" s="1" t="s">
        <v>1</v>
      </c>
      <c r="E2">
        <v>-7.8</v>
      </c>
      <c r="F2">
        <v>-7.8</v>
      </c>
      <c r="I2" s="1" t="s">
        <v>32</v>
      </c>
    </row>
    <row r="3" spans="1:12">
      <c r="A3">
        <v>2011</v>
      </c>
      <c r="D3">
        <v>2011</v>
      </c>
      <c r="E3">
        <f>0.06*7.8/1.03</f>
        <v>0.45436893203883494</v>
      </c>
      <c r="F3">
        <f>0.06*3.9/1.03</f>
        <v>0.22718446601941747</v>
      </c>
      <c r="H3">
        <v>2011</v>
      </c>
      <c r="I3">
        <f>B15+B16+B17+B18</f>
        <v>123</v>
      </c>
      <c r="J3">
        <f>B15/$I$3</f>
        <v>0.24390243902439024</v>
      </c>
      <c r="K3">
        <f>J3*80</f>
        <v>19.512195121951219</v>
      </c>
      <c r="L3">
        <f>K3*0.203</f>
        <v>3.9609756097560975</v>
      </c>
    </row>
    <row r="4" spans="1:12">
      <c r="A4">
        <v>2012</v>
      </c>
      <c r="D4">
        <v>2012</v>
      </c>
      <c r="E4">
        <f>0.06*(7.8)/1.03^2</f>
        <v>0.441134885474597</v>
      </c>
      <c r="F4">
        <f>0.06*(3.9)/1.03^2</f>
        <v>0.2205674427372985</v>
      </c>
      <c r="H4">
        <v>2012</v>
      </c>
      <c r="J4">
        <f>B16/$I$3</f>
        <v>0.30081300813008133</v>
      </c>
      <c r="K4">
        <f>J4*80</f>
        <v>24.065040650406505</v>
      </c>
      <c r="L4">
        <f>K4*0.203</f>
        <v>4.8852032520325208</v>
      </c>
    </row>
    <row r="5" spans="1:12">
      <c r="A5">
        <v>2013</v>
      </c>
      <c r="B5">
        <v>3.25</v>
      </c>
      <c r="C5">
        <f>B5/1.03^3</f>
        <v>2.9742103928977688</v>
      </c>
      <c r="D5">
        <v>2013</v>
      </c>
      <c r="E5">
        <f>0.06*(7.8)/1.03^3</f>
        <v>0.42828629657727868</v>
      </c>
      <c r="F5">
        <f>0.06*(3.9)/1.03^3</f>
        <v>0.21414314828863934</v>
      </c>
      <c r="H5">
        <v>2013</v>
      </c>
      <c r="J5">
        <f>B17/$I$3</f>
        <v>0.17073170731707318</v>
      </c>
      <c r="K5">
        <f>J5*80</f>
        <v>13.658536585365855</v>
      </c>
      <c r="L5">
        <f>K5*0.203</f>
        <v>2.772682926829269</v>
      </c>
    </row>
    <row r="6" spans="1:12">
      <c r="A6">
        <v>2014</v>
      </c>
      <c r="B6">
        <v>3.25</v>
      </c>
      <c r="C6">
        <f>B6/1.03^4</f>
        <v>2.887582905725989</v>
      </c>
      <c r="D6">
        <v>2014</v>
      </c>
      <c r="E6">
        <f>0.06*(7.8)/1.03^4</f>
        <v>0.41581193842454239</v>
      </c>
      <c r="F6">
        <f>0.06*(3.9)/1.03^4</f>
        <v>0.2079059692122712</v>
      </c>
      <c r="H6">
        <v>2014</v>
      </c>
      <c r="J6">
        <f>B18/$I$3</f>
        <v>0.28455284552845528</v>
      </c>
      <c r="K6">
        <f>J6*80</f>
        <v>22.764227642276424</v>
      </c>
      <c r="L6">
        <f>K6*0.203</f>
        <v>4.6211382113821147</v>
      </c>
    </row>
    <row r="7" spans="1:12">
      <c r="A7">
        <v>2015</v>
      </c>
      <c r="B7">
        <v>3.25</v>
      </c>
      <c r="C7">
        <f>B7/1.03^5</f>
        <v>2.8034785492485335</v>
      </c>
      <c r="D7">
        <v>2015</v>
      </c>
      <c r="E7">
        <f>0.06*(7.8)/1.03^5</f>
        <v>0.40370091109178879</v>
      </c>
      <c r="F7">
        <f>0.06*(3.9)/1.03^5</f>
        <v>0.2018504555458944</v>
      </c>
      <c r="J7">
        <f>SUM(J3:J6)</f>
        <v>1</v>
      </c>
      <c r="K7">
        <f>J7*80</f>
        <v>80</v>
      </c>
      <c r="L7">
        <f>K7*0.203</f>
        <v>16.240000000000002</v>
      </c>
    </row>
    <row r="8" spans="1:12">
      <c r="A8">
        <v>2016</v>
      </c>
      <c r="B8">
        <v>3.25</v>
      </c>
      <c r="C8">
        <f>B8/1.03^6</f>
        <v>2.721823834221877</v>
      </c>
      <c r="E8">
        <f>SUM(E3:E7)</f>
        <v>2.143302963607042</v>
      </c>
      <c r="F8">
        <f>SUM(F3:F7)</f>
        <v>1.071651481803521</v>
      </c>
    </row>
    <row r="9" spans="1:12">
      <c r="A9">
        <v>2017</v>
      </c>
      <c r="B9">
        <v>3.25</v>
      </c>
      <c r="C9">
        <f>B9/1.03^7</f>
        <v>2.6425474118658996</v>
      </c>
      <c r="E9">
        <f>7.8/(1.03)^5</f>
        <v>6.7283485181964799</v>
      </c>
      <c r="F9">
        <f>3.9/1.03^5</f>
        <v>3.36417425909824</v>
      </c>
    </row>
    <row r="10" spans="1:12">
      <c r="C10">
        <f>SUM(C5:C9)</f>
        <v>14.029643093960066</v>
      </c>
      <c r="E10">
        <f>(E2)*(-1)-E8-E9</f>
        <v>-1.0716514818035225</v>
      </c>
      <c r="F10">
        <f>F2*(-1)-F8-F9</f>
        <v>3.3641742590982391</v>
      </c>
    </row>
    <row r="13" spans="1:12">
      <c r="A13" s="1" t="s">
        <v>4</v>
      </c>
      <c r="I13" s="1" t="s">
        <v>33</v>
      </c>
    </row>
    <row r="14" spans="1:12">
      <c r="B14" t="s">
        <v>5</v>
      </c>
      <c r="C14" t="s">
        <v>10</v>
      </c>
      <c r="D14" t="s">
        <v>6</v>
      </c>
      <c r="E14" t="s">
        <v>7</v>
      </c>
      <c r="I14" t="s">
        <v>5</v>
      </c>
      <c r="J14" t="s">
        <v>6</v>
      </c>
      <c r="K14" t="s">
        <v>7</v>
      </c>
    </row>
    <row r="15" spans="1:12">
      <c r="A15">
        <v>2011</v>
      </c>
      <c r="B15">
        <v>30</v>
      </c>
      <c r="C15">
        <f>B15-5</f>
        <v>25</v>
      </c>
      <c r="D15">
        <v>19</v>
      </c>
      <c r="E15">
        <v>20</v>
      </c>
      <c r="H15">
        <v>2011</v>
      </c>
      <c r="I15">
        <f>B15+K3</f>
        <v>49.512195121951223</v>
      </c>
      <c r="J15">
        <f>D15</f>
        <v>19</v>
      </c>
      <c r="K15">
        <f>E15</f>
        <v>20</v>
      </c>
    </row>
    <row r="16" spans="1:12">
      <c r="A16">
        <v>2012</v>
      </c>
      <c r="B16">
        <v>37</v>
      </c>
      <c r="C16">
        <f>B16-5</f>
        <v>32</v>
      </c>
      <c r="D16">
        <v>18</v>
      </c>
      <c r="E16">
        <v>10</v>
      </c>
      <c r="H16">
        <v>2012</v>
      </c>
      <c r="I16">
        <f>B16+K4</f>
        <v>61.065040650406502</v>
      </c>
      <c r="J16">
        <f t="shared" ref="J16:K18" si="0">D16/2</f>
        <v>9</v>
      </c>
      <c r="K16">
        <f t="shared" si="0"/>
        <v>5</v>
      </c>
    </row>
    <row r="17" spans="1:11">
      <c r="A17">
        <v>2013</v>
      </c>
      <c r="B17">
        <v>21</v>
      </c>
      <c r="C17">
        <f>B17-5</f>
        <v>16</v>
      </c>
      <c r="D17">
        <v>19</v>
      </c>
      <c r="E17">
        <v>11</v>
      </c>
      <c r="H17">
        <v>2013</v>
      </c>
      <c r="I17">
        <f>B17+K5</f>
        <v>34.658536585365852</v>
      </c>
      <c r="J17">
        <f t="shared" si="0"/>
        <v>9.5</v>
      </c>
      <c r="K17">
        <f t="shared" si="0"/>
        <v>5.5</v>
      </c>
    </row>
    <row r="18" spans="1:11">
      <c r="A18">
        <v>2014</v>
      </c>
      <c r="B18">
        <v>35</v>
      </c>
      <c r="C18">
        <f>B18-5</f>
        <v>30</v>
      </c>
      <c r="D18">
        <v>19</v>
      </c>
      <c r="E18">
        <v>14</v>
      </c>
      <c r="H18">
        <v>2014</v>
      </c>
      <c r="I18">
        <f>B18+K6</f>
        <v>57.764227642276424</v>
      </c>
      <c r="J18">
        <f t="shared" si="0"/>
        <v>9.5</v>
      </c>
      <c r="K18">
        <f t="shared" si="0"/>
        <v>7</v>
      </c>
    </row>
    <row r="19" spans="1:11">
      <c r="A19">
        <v>2015</v>
      </c>
      <c r="B19">
        <v>25</v>
      </c>
      <c r="C19">
        <f>B19-5</f>
        <v>20</v>
      </c>
      <c r="D19">
        <v>19</v>
      </c>
      <c r="E19">
        <v>14</v>
      </c>
      <c r="H19">
        <v>2015</v>
      </c>
      <c r="I19">
        <f>B19</f>
        <v>25</v>
      </c>
      <c r="J19">
        <f>D19</f>
        <v>19</v>
      </c>
      <c r="K19">
        <f>E19</f>
        <v>14</v>
      </c>
    </row>
    <row r="21" spans="1:11">
      <c r="A21" s="1" t="s">
        <v>28</v>
      </c>
      <c r="J21" s="1"/>
    </row>
    <row r="22" spans="1:11">
      <c r="B22" t="s">
        <v>5</v>
      </c>
      <c r="C22" t="s">
        <v>10</v>
      </c>
      <c r="D22" t="s">
        <v>6</v>
      </c>
      <c r="E22" t="s">
        <v>7</v>
      </c>
    </row>
    <row r="23" spans="1:11">
      <c r="A23">
        <v>2011</v>
      </c>
      <c r="B23">
        <f>I15*0.209</f>
        <v>10.348048780487805</v>
      </c>
      <c r="C23">
        <f>B23-5*0.209</f>
        <v>9.3030487804878046</v>
      </c>
      <c r="D23">
        <f t="shared" ref="D23:E27" si="1">D15*0.209</f>
        <v>3.9709999999999996</v>
      </c>
      <c r="E23">
        <f t="shared" si="1"/>
        <v>4.18</v>
      </c>
    </row>
    <row r="24" spans="1:11">
      <c r="A24">
        <v>2012</v>
      </c>
      <c r="B24">
        <f>I16*0.209</f>
        <v>12.762593495934958</v>
      </c>
      <c r="C24">
        <f>B24-5*0.209</f>
        <v>11.717593495934958</v>
      </c>
      <c r="D24">
        <f t="shared" si="1"/>
        <v>3.762</v>
      </c>
      <c r="E24">
        <f t="shared" si="1"/>
        <v>2.09</v>
      </c>
    </row>
    <row r="25" spans="1:11">
      <c r="A25">
        <v>2013</v>
      </c>
      <c r="B25">
        <f>I17*0.209</f>
        <v>7.2436341463414626</v>
      </c>
      <c r="C25">
        <f>B25-5*0.209</f>
        <v>6.1986341463414627</v>
      </c>
      <c r="D25">
        <f t="shared" si="1"/>
        <v>3.9709999999999996</v>
      </c>
      <c r="E25">
        <f t="shared" si="1"/>
        <v>2.2989999999999999</v>
      </c>
    </row>
    <row r="26" spans="1:11">
      <c r="A26">
        <v>2014</v>
      </c>
      <c r="B26">
        <f>I18*0.209</f>
        <v>12.072723577235772</v>
      </c>
      <c r="C26">
        <f>B26-5*0.209</f>
        <v>11.027723577235772</v>
      </c>
      <c r="D26">
        <f t="shared" si="1"/>
        <v>3.9709999999999996</v>
      </c>
      <c r="E26">
        <f t="shared" si="1"/>
        <v>2.9259999999999997</v>
      </c>
    </row>
    <row r="27" spans="1:11">
      <c r="A27">
        <v>2015</v>
      </c>
      <c r="B27">
        <f>I19*0.209</f>
        <v>5.2249999999999996</v>
      </c>
      <c r="C27">
        <f>B27-5*0.209</f>
        <v>4.18</v>
      </c>
      <c r="D27">
        <f t="shared" si="1"/>
        <v>3.9709999999999996</v>
      </c>
      <c r="E27">
        <f t="shared" si="1"/>
        <v>2.9259999999999997</v>
      </c>
    </row>
    <row r="29" spans="1:11">
      <c r="A29" s="1" t="s">
        <v>12</v>
      </c>
    </row>
    <row r="30" spans="1:11">
      <c r="A30" s="1"/>
      <c r="B30" t="s">
        <v>14</v>
      </c>
      <c r="C30" t="s">
        <v>13</v>
      </c>
      <c r="E30" s="1"/>
      <c r="I30" s="1"/>
    </row>
    <row r="31" spans="1:11">
      <c r="A31">
        <v>2011</v>
      </c>
      <c r="B31">
        <f>C23</f>
        <v>9.3030487804878046</v>
      </c>
      <c r="C31">
        <f>0.06*B31/1.03</f>
        <v>0.5419251716789012</v>
      </c>
    </row>
    <row r="32" spans="1:11">
      <c r="A32">
        <v>2012</v>
      </c>
      <c r="B32">
        <f>C24/1.03</f>
        <v>11.376304364985396</v>
      </c>
      <c r="C32">
        <f>(0.06*(B32+B31))/1.03^2</f>
        <v>1.1695364207073164</v>
      </c>
    </row>
    <row r="33" spans="1:11">
      <c r="A33">
        <v>2013</v>
      </c>
      <c r="B33">
        <f>C25/1.03^2</f>
        <v>5.8428071885582646</v>
      </c>
      <c r="C33">
        <f>(0.06*(B33+B32+B31))/1.03^3</f>
        <v>1.4562920290629664</v>
      </c>
    </row>
    <row r="34" spans="1:11">
      <c r="A34">
        <v>2014</v>
      </c>
      <c r="B34">
        <f>C26/1.03^3</f>
        <v>10.091929253359504</v>
      </c>
      <c r="C34">
        <f>(0.06*(B34+B33+B32+B31))/1.03^4</f>
        <v>1.9518686621772943</v>
      </c>
    </row>
    <row r="35" spans="1:11">
      <c r="A35">
        <v>2015</v>
      </c>
      <c r="B35">
        <f>C27/1.03^4</f>
        <v>3.7138758602875797</v>
      </c>
      <c r="C35">
        <f>(0.06*(B35+B34+B33+B32+B31))/1.03^5</f>
        <v>2.087235435090514</v>
      </c>
    </row>
    <row r="36" spans="1:11">
      <c r="B36">
        <f>SUM(B31:B35)</f>
        <v>40.327965447678551</v>
      </c>
      <c r="C36">
        <f>SUM(C31:C35)</f>
        <v>7.2068577187169929</v>
      </c>
    </row>
    <row r="38" spans="1:11">
      <c r="B38" t="s">
        <v>15</v>
      </c>
    </row>
    <row r="39" spans="1:11">
      <c r="B39" t="s">
        <v>16</v>
      </c>
      <c r="C39" s="2" t="s">
        <v>17</v>
      </c>
      <c r="D39" s="5" t="s">
        <v>26</v>
      </c>
      <c r="G39" s="2"/>
      <c r="K39" s="2"/>
    </row>
    <row r="40" spans="1:11">
      <c r="B40">
        <f>SUM(C23:C27)/1.03^5</f>
        <v>36.59790289506693</v>
      </c>
      <c r="C40">
        <f>0.333*SUM(C23:C27)/1.03^5</f>
        <v>12.187101664057289</v>
      </c>
      <c r="D40">
        <v>0</v>
      </c>
    </row>
    <row r="42" spans="1:11">
      <c r="A42" s="1" t="s">
        <v>18</v>
      </c>
      <c r="B42" t="s">
        <v>9</v>
      </c>
      <c r="C42" t="s">
        <v>30</v>
      </c>
      <c r="D42" t="s">
        <v>21</v>
      </c>
      <c r="E42" s="1"/>
      <c r="I42" s="1"/>
    </row>
    <row r="43" spans="1:11">
      <c r="A43" t="s">
        <v>19</v>
      </c>
      <c r="B43">
        <f>B36-C36-B40</f>
        <v>-3.4767951661053687</v>
      </c>
      <c r="C43">
        <f>B36-C36-C40</f>
        <v>20.934006064904274</v>
      </c>
      <c r="D43">
        <f>B36-C36</f>
        <v>33.121107728961562</v>
      </c>
    </row>
    <row r="44" spans="1:11">
      <c r="A44" t="s">
        <v>20</v>
      </c>
      <c r="B44" s="1">
        <f>B43+C10+E10</f>
        <v>9.4811964460511753</v>
      </c>
      <c r="C44" s="1">
        <f>C43+C10+E10</f>
        <v>33.891997677060822</v>
      </c>
      <c r="D44" s="1">
        <f>D43+C10+(-1)*E2-E8</f>
        <v>52.807447859314586</v>
      </c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9"/>
  <sheetViews>
    <sheetView workbookViewId="0">
      <selection sqref="A1:IV65536"/>
    </sheetView>
  </sheetViews>
  <sheetFormatPr baseColWidth="10" defaultRowHeight="15"/>
  <sheetData>
    <row r="1" spans="1:7">
      <c r="E1" t="s">
        <v>3</v>
      </c>
      <c r="F1" t="s">
        <v>2</v>
      </c>
    </row>
    <row r="2" spans="1:7">
      <c r="A2" s="1" t="s">
        <v>0</v>
      </c>
      <c r="D2" s="1" t="s">
        <v>1</v>
      </c>
      <c r="E2">
        <v>-7.8</v>
      </c>
      <c r="F2">
        <v>-7.8</v>
      </c>
    </row>
    <row r="3" spans="1:7">
      <c r="A3">
        <v>2011</v>
      </c>
      <c r="D3">
        <v>2011</v>
      </c>
      <c r="E3">
        <f>0.06*7.8/1.03</f>
        <v>0.45436893203883494</v>
      </c>
      <c r="F3">
        <f>0.06*3.9/1.03</f>
        <v>0.22718446601941747</v>
      </c>
    </row>
    <row r="4" spans="1:7">
      <c r="A4">
        <v>2012</v>
      </c>
      <c r="D4">
        <v>2012</v>
      </c>
      <c r="E4">
        <f>0.06*(7.8)/1.03^2</f>
        <v>0.441134885474597</v>
      </c>
      <c r="F4">
        <f>0.06*(3.9)/1.03^2</f>
        <v>0.2205674427372985</v>
      </c>
    </row>
    <row r="5" spans="1:7">
      <c r="A5">
        <v>2013</v>
      </c>
      <c r="B5">
        <v>3.25</v>
      </c>
      <c r="C5">
        <f>B5/1.03^3</f>
        <v>2.9742103928977688</v>
      </c>
      <c r="D5">
        <v>2013</v>
      </c>
      <c r="E5">
        <f>0.06*(7.8)/1.03^3</f>
        <v>0.42828629657727868</v>
      </c>
      <c r="F5">
        <f>0.06*(3.9)/1.03^3</f>
        <v>0.21414314828863934</v>
      </c>
    </row>
    <row r="6" spans="1:7">
      <c r="A6">
        <v>2014</v>
      </c>
      <c r="B6">
        <v>3.25</v>
      </c>
      <c r="C6">
        <f>B6/1.03^4</f>
        <v>2.887582905725989</v>
      </c>
    </row>
    <row r="7" spans="1:7">
      <c r="A7">
        <v>2015</v>
      </c>
      <c r="B7">
        <v>3.25</v>
      </c>
      <c r="C7">
        <f>B7/1.03^5</f>
        <v>2.8034785492485335</v>
      </c>
    </row>
    <row r="8" spans="1:7">
      <c r="A8">
        <v>2016</v>
      </c>
      <c r="B8">
        <v>3.25</v>
      </c>
      <c r="C8">
        <f>B8/1.03^6</f>
        <v>2.721823834221877</v>
      </c>
      <c r="E8">
        <f>SUM(E3:E7)</f>
        <v>1.3237901140907107</v>
      </c>
      <c r="F8">
        <f>SUM(F3:F7)</f>
        <v>0.66189505704535534</v>
      </c>
    </row>
    <row r="9" spans="1:7">
      <c r="A9">
        <v>2017</v>
      </c>
      <c r="B9">
        <v>3.25</v>
      </c>
      <c r="C9">
        <f>B9/1.03^7</f>
        <v>2.6425474118658996</v>
      </c>
      <c r="E9">
        <f>7.8/(1.03)^3</f>
        <v>7.1381049429546444</v>
      </c>
      <c r="F9">
        <f>3.9/1.03^3</f>
        <v>3.5690524714773222</v>
      </c>
    </row>
    <row r="10" spans="1:7">
      <c r="C10">
        <f>SUM(C5:C9)</f>
        <v>14.029643093960066</v>
      </c>
      <c r="E10">
        <f>(E2)*(-1)-E8-E9</f>
        <v>-0.66189505704535545</v>
      </c>
      <c r="F10">
        <f>F2*(-1)-F8-F9</f>
        <v>3.5690524714773222</v>
      </c>
    </row>
    <row r="13" spans="1:7">
      <c r="A13" s="1" t="s">
        <v>4</v>
      </c>
      <c r="F13" s="1" t="s">
        <v>8</v>
      </c>
    </row>
    <row r="14" spans="1:7">
      <c r="B14" t="s">
        <v>5</v>
      </c>
      <c r="C14" t="s">
        <v>6</v>
      </c>
      <c r="D14" t="s">
        <v>7</v>
      </c>
      <c r="E14" t="s">
        <v>5</v>
      </c>
      <c r="F14" t="s">
        <v>6</v>
      </c>
      <c r="G14" t="s">
        <v>7</v>
      </c>
    </row>
    <row r="15" spans="1:7">
      <c r="A15">
        <v>2011</v>
      </c>
      <c r="B15">
        <v>49.512195121951223</v>
      </c>
      <c r="C15">
        <v>19</v>
      </c>
      <c r="D15">
        <v>20</v>
      </c>
      <c r="E15">
        <f>B15/2</f>
        <v>24.756097560975611</v>
      </c>
      <c r="F15">
        <f>C15</f>
        <v>19</v>
      </c>
      <c r="G15">
        <f>D15</f>
        <v>20</v>
      </c>
    </row>
    <row r="16" spans="1:7">
      <c r="A16">
        <v>2012</v>
      </c>
      <c r="B16">
        <v>61.065040650406502</v>
      </c>
      <c r="C16">
        <v>18</v>
      </c>
      <c r="D16">
        <v>10</v>
      </c>
      <c r="E16">
        <f>B16/2</f>
        <v>30.532520325203251</v>
      </c>
      <c r="F16">
        <f>C16*0.67</f>
        <v>12.06</v>
      </c>
      <c r="G16">
        <f>0.67*D16</f>
        <v>6.7</v>
      </c>
    </row>
    <row r="17" spans="1:11">
      <c r="A17">
        <v>2013</v>
      </c>
      <c r="B17">
        <v>34.658536585365852</v>
      </c>
      <c r="C17">
        <v>19</v>
      </c>
      <c r="D17">
        <v>11</v>
      </c>
      <c r="E17">
        <f>B17/2</f>
        <v>17.329268292682926</v>
      </c>
      <c r="F17">
        <f>C17*0.67</f>
        <v>12.73</v>
      </c>
      <c r="G17">
        <f>0.67*D17</f>
        <v>7.37</v>
      </c>
    </row>
    <row r="20" spans="1:11">
      <c r="A20" s="1" t="s">
        <v>28</v>
      </c>
      <c r="I20" s="1" t="s">
        <v>24</v>
      </c>
    </row>
    <row r="21" spans="1:11">
      <c r="B21" t="s">
        <v>5</v>
      </c>
      <c r="C21" t="s">
        <v>6</v>
      </c>
      <c r="D21" t="s">
        <v>7</v>
      </c>
      <c r="E21" t="s">
        <v>5</v>
      </c>
      <c r="F21" t="s">
        <v>6</v>
      </c>
      <c r="G21" t="s">
        <v>7</v>
      </c>
      <c r="I21" t="s">
        <v>5</v>
      </c>
      <c r="J21" t="s">
        <v>6</v>
      </c>
      <c r="K21" t="s">
        <v>7</v>
      </c>
    </row>
    <row r="22" spans="1:11">
      <c r="A22">
        <v>2011</v>
      </c>
      <c r="B22">
        <f t="shared" ref="B22:D24" si="0">B15*0.209</f>
        <v>10.348048780487805</v>
      </c>
      <c r="C22">
        <f t="shared" si="0"/>
        <v>3.9709999999999996</v>
      </c>
      <c r="D22">
        <f t="shared" si="0"/>
        <v>4.18</v>
      </c>
      <c r="E22">
        <f>B22/2</f>
        <v>5.1740243902439023</v>
      </c>
      <c r="F22">
        <f>C22</f>
        <v>3.9709999999999996</v>
      </c>
      <c r="G22">
        <f>D22</f>
        <v>4.18</v>
      </c>
      <c r="I22">
        <f>B22-E22+B23-E23+B24-E24</f>
        <v>15.177138211382111</v>
      </c>
      <c r="J22">
        <f>C23-F23+C24-F24</f>
        <v>2.5518900000000002</v>
      </c>
      <c r="K22">
        <f>D23-G23+D24-G24</f>
        <v>1.4483699999999997</v>
      </c>
    </row>
    <row r="23" spans="1:11">
      <c r="A23">
        <v>2012</v>
      </c>
      <c r="B23">
        <f t="shared" si="0"/>
        <v>12.762593495934958</v>
      </c>
      <c r="C23">
        <f t="shared" si="0"/>
        <v>3.762</v>
      </c>
      <c r="D23">
        <f t="shared" si="0"/>
        <v>2.09</v>
      </c>
      <c r="E23">
        <f>B23/2</f>
        <v>6.3812967479674789</v>
      </c>
      <c r="F23">
        <f>0.67*C23</f>
        <v>2.52054</v>
      </c>
      <c r="G23">
        <f>0.67*D23</f>
        <v>1.4002999999999999</v>
      </c>
    </row>
    <row r="24" spans="1:11">
      <c r="A24">
        <v>2013</v>
      </c>
      <c r="B24">
        <f t="shared" si="0"/>
        <v>7.2436341463414626</v>
      </c>
      <c r="C24">
        <f t="shared" si="0"/>
        <v>3.9709999999999996</v>
      </c>
      <c r="D24">
        <f t="shared" si="0"/>
        <v>2.2989999999999999</v>
      </c>
      <c r="E24">
        <f>B24/2</f>
        <v>3.6218170731707313</v>
      </c>
      <c r="F24">
        <f>0.67*C24</f>
        <v>2.6605699999999999</v>
      </c>
      <c r="G24">
        <f>0.67*D24</f>
        <v>1.54033</v>
      </c>
    </row>
    <row r="27" spans="1:11">
      <c r="A27" s="1" t="s">
        <v>12</v>
      </c>
    </row>
    <row r="28" spans="1:11">
      <c r="A28" s="1"/>
      <c r="B28" t="s">
        <v>14</v>
      </c>
      <c r="C28" t="s">
        <v>13</v>
      </c>
      <c r="E28" s="1"/>
      <c r="F28" t="s">
        <v>14</v>
      </c>
      <c r="G28" t="s">
        <v>13</v>
      </c>
    </row>
    <row r="29" spans="1:11">
      <c r="A29">
        <v>2011</v>
      </c>
      <c r="B29">
        <f>E22</f>
        <v>5.1740243902439023</v>
      </c>
      <c r="C29">
        <f>0.06*B29/1.03</f>
        <v>0.30139947904333408</v>
      </c>
      <c r="E29">
        <v>2011</v>
      </c>
      <c r="F29">
        <f>E22</f>
        <v>5.1740243902439023</v>
      </c>
      <c r="G29">
        <f>0.06*F29/1.03</f>
        <v>0.30139947904333408</v>
      </c>
    </row>
    <row r="30" spans="1:11">
      <c r="A30">
        <v>2012</v>
      </c>
      <c r="B30">
        <f>E23/1.03</f>
        <v>6.1954337358907559</v>
      </c>
      <c r="C30">
        <f>(0.06*(B30+B29))/1.03^2</f>
        <v>0.64300828312572289</v>
      </c>
      <c r="E30">
        <v>2012</v>
      </c>
      <c r="F30">
        <f>(E23+F23+G23)/1.03</f>
        <v>10.002074512589786</v>
      </c>
      <c r="G30">
        <f>(0.06*(F30+F29))/1.03^2</f>
        <v>0.85829572454521763</v>
      </c>
    </row>
    <row r="31" spans="1:11">
      <c r="A31">
        <v>2013</v>
      </c>
      <c r="B31">
        <f>E24/1.03^2</f>
        <v>3.4139099568015188</v>
      </c>
      <c r="C31">
        <f>(0.06*(B31+B30+B29))/1.03^3</f>
        <v>0.81173255989480497</v>
      </c>
      <c r="E31">
        <v>2013</v>
      </c>
      <c r="F31">
        <f>(E24+F24+G24)/1.03^2</f>
        <v>7.3736611114815078</v>
      </c>
      <c r="G31">
        <f>(0.06*(F31+F30+F29))/1.03^3</f>
        <v>1.2381734878509563</v>
      </c>
    </row>
    <row r="32" spans="1:11">
      <c r="B32">
        <f>SUM(B29:B31)</f>
        <v>14.783368082936176</v>
      </c>
      <c r="C32">
        <f>SUM(C29:C31)</f>
        <v>1.7561403220638621</v>
      </c>
      <c r="F32">
        <f>SUM(F29:F31)</f>
        <v>22.549760014315197</v>
      </c>
      <c r="G32">
        <f>SUM(G29:G31)</f>
        <v>2.3978686914395082</v>
      </c>
    </row>
    <row r="34" spans="1:9">
      <c r="B34" t="s">
        <v>25</v>
      </c>
      <c r="C34" t="s">
        <v>22</v>
      </c>
      <c r="F34" t="s">
        <v>25</v>
      </c>
      <c r="G34" t="s">
        <v>22</v>
      </c>
      <c r="I34" s="1"/>
    </row>
    <row r="35" spans="1:9">
      <c r="B35">
        <f>SUM(E22:E24)/(1.03)^3</f>
        <v>13.889231446996471</v>
      </c>
      <c r="C35" s="3">
        <f>I22</f>
        <v>15.177138211382111</v>
      </c>
      <c r="F35">
        <f>SUM(E22+E23+F23+G23+E24+F24+G24)/1.03^3</f>
        <v>21.321774067431402</v>
      </c>
      <c r="G35" s="4">
        <f>I22+J22+K22</f>
        <v>19.177398211382112</v>
      </c>
    </row>
    <row r="37" spans="1:9">
      <c r="A37" s="1" t="s">
        <v>18</v>
      </c>
      <c r="B37" t="s">
        <v>23</v>
      </c>
      <c r="E37" s="1" t="s">
        <v>18</v>
      </c>
      <c r="F37" t="s">
        <v>31</v>
      </c>
    </row>
    <row r="38" spans="1:9">
      <c r="A38" t="s">
        <v>19</v>
      </c>
      <c r="B38" s="3">
        <f>B32-C32-B35+C35</f>
        <v>14.315134525257955</v>
      </c>
      <c r="E38" t="s">
        <v>19</v>
      </c>
      <c r="F38" s="4">
        <f>F32-F35-G32+G35</f>
        <v>18.007515466826398</v>
      </c>
    </row>
    <row r="39" spans="1:9">
      <c r="A39" t="s">
        <v>20</v>
      </c>
      <c r="B39" s="7">
        <f>B38+C10+F10</f>
        <v>31.913830090695342</v>
      </c>
      <c r="E39" t="s">
        <v>20</v>
      </c>
      <c r="F39" s="6">
        <f>C10+F10+F38</f>
        <v>35.606211032263786</v>
      </c>
    </row>
  </sheetData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4"/>
  <sheetViews>
    <sheetView workbookViewId="0">
      <selection sqref="A1:IV65536"/>
    </sheetView>
  </sheetViews>
  <sheetFormatPr baseColWidth="10" defaultRowHeight="15"/>
  <sheetData>
    <row r="1" spans="1:12">
      <c r="E1" t="s">
        <v>3</v>
      </c>
      <c r="F1" t="s">
        <v>2</v>
      </c>
    </row>
    <row r="2" spans="1:12">
      <c r="A2" s="1" t="s">
        <v>0</v>
      </c>
      <c r="D2" s="1" t="s">
        <v>1</v>
      </c>
      <c r="E2">
        <v>-4.5</v>
      </c>
      <c r="F2">
        <v>-4.5</v>
      </c>
      <c r="I2" s="1" t="s">
        <v>32</v>
      </c>
    </row>
    <row r="3" spans="1:12">
      <c r="A3">
        <v>2011</v>
      </c>
      <c r="D3">
        <v>2011</v>
      </c>
      <c r="E3">
        <f>0.06*4.5/1.03</f>
        <v>0.26213592233009708</v>
      </c>
      <c r="F3">
        <f>0.06*2.25/1.03</f>
        <v>0.13106796116504854</v>
      </c>
      <c r="H3">
        <v>2011</v>
      </c>
      <c r="I3">
        <f>B15+B16+B17+B18</f>
        <v>123</v>
      </c>
      <c r="J3">
        <f>B15/$I$3</f>
        <v>0.24390243902439024</v>
      </c>
      <c r="K3">
        <f>J3*80</f>
        <v>19.512195121951219</v>
      </c>
      <c r="L3">
        <f>K3*0.119</f>
        <v>2.321951219512195</v>
      </c>
    </row>
    <row r="4" spans="1:12">
      <c r="A4">
        <v>2012</v>
      </c>
      <c r="D4">
        <v>2012</v>
      </c>
      <c r="E4">
        <f>0.06*(4.5)/1.03^2</f>
        <v>0.25450089546611371</v>
      </c>
      <c r="F4">
        <f>0.06*(2.25)/1.03^2</f>
        <v>0.12725044773305685</v>
      </c>
      <c r="H4">
        <v>2012</v>
      </c>
      <c r="J4">
        <f>B16/$I$3</f>
        <v>0.30081300813008133</v>
      </c>
      <c r="K4">
        <f>J4*80</f>
        <v>24.065040650406505</v>
      </c>
      <c r="L4">
        <f>K4*0.119</f>
        <v>2.863739837398374</v>
      </c>
    </row>
    <row r="5" spans="1:12">
      <c r="A5">
        <v>2013</v>
      </c>
      <c r="B5">
        <v>1.9</v>
      </c>
      <c r="C5">
        <f>B5/1.03^3</f>
        <v>1.7387691527710032</v>
      </c>
      <c r="D5">
        <v>2013</v>
      </c>
      <c r="E5">
        <f>0.06*(4.5)/1.03^3</f>
        <v>0.24708824802535309</v>
      </c>
      <c r="F5">
        <f>0.06*(2.2)/1.03^3</f>
        <v>0.12079869903461707</v>
      </c>
      <c r="H5">
        <v>2013</v>
      </c>
      <c r="J5">
        <f>B17/$I$3</f>
        <v>0.17073170731707318</v>
      </c>
      <c r="K5">
        <f>J5*80</f>
        <v>13.658536585365855</v>
      </c>
      <c r="L5">
        <f>K5*0.119</f>
        <v>1.6253658536585367</v>
      </c>
    </row>
    <row r="6" spans="1:12">
      <c r="A6">
        <v>2014</v>
      </c>
      <c r="B6">
        <v>1.9</v>
      </c>
      <c r="C6">
        <f>B6/1.03^4</f>
        <v>1.6881253910398091</v>
      </c>
      <c r="D6">
        <v>2014</v>
      </c>
      <c r="E6">
        <f>0.06*(4.5)/1.03^4</f>
        <v>0.23989150293723605</v>
      </c>
      <c r="F6">
        <f>0.06*(2.25)/1.03^4</f>
        <v>0.11994575146861802</v>
      </c>
      <c r="H6">
        <v>2014</v>
      </c>
      <c r="J6">
        <f>B18/$I$3</f>
        <v>0.28455284552845528</v>
      </c>
      <c r="K6">
        <f>J6*80</f>
        <v>22.764227642276424</v>
      </c>
      <c r="L6">
        <f>K6*0.119</f>
        <v>2.7089430894308943</v>
      </c>
    </row>
    <row r="7" spans="1:12">
      <c r="A7">
        <v>2015</v>
      </c>
      <c r="B7">
        <v>1.9</v>
      </c>
      <c r="C7">
        <f>B7/1.03^5</f>
        <v>1.6389566903299118</v>
      </c>
      <c r="D7">
        <v>2015</v>
      </c>
      <c r="E7">
        <f>0.06*(4.5)/1.03^5</f>
        <v>0.23290437178372433</v>
      </c>
      <c r="F7">
        <f>0.06*(2.25)/1.03^5</f>
        <v>0.11645218589186217</v>
      </c>
      <c r="J7">
        <f>B19/$I$3</f>
        <v>0.2032520325203252</v>
      </c>
      <c r="K7">
        <f>J7*80</f>
        <v>16.260162601626014</v>
      </c>
      <c r="L7">
        <f>SUM(L3:L6)</f>
        <v>9.52</v>
      </c>
    </row>
    <row r="8" spans="1:12">
      <c r="A8">
        <v>2016</v>
      </c>
      <c r="B8">
        <v>1.9</v>
      </c>
      <c r="C8">
        <f>B8/1.03^6</f>
        <v>1.5912200876989433</v>
      </c>
      <c r="E8">
        <f>SUM(E3:E7)</f>
        <v>1.2365209405425244</v>
      </c>
      <c r="F8">
        <f>SUM(F3:F7)</f>
        <v>0.61551504529320267</v>
      </c>
    </row>
    <row r="9" spans="1:12">
      <c r="A9">
        <v>2017</v>
      </c>
      <c r="B9">
        <v>1.9</v>
      </c>
      <c r="C9">
        <f>B9/1.03^7</f>
        <v>1.544873871552372</v>
      </c>
      <c r="E9">
        <f>4.5/(1.03)^5</f>
        <v>3.8817395297287383</v>
      </c>
      <c r="F9">
        <f>2.25/1.03^5</f>
        <v>1.9408697648643691</v>
      </c>
    </row>
    <row r="10" spans="1:12">
      <c r="C10">
        <f>SUM(C5:C9)</f>
        <v>8.2019451933920386</v>
      </c>
      <c r="E10">
        <f>(E2)*(-1)-E8-E9</f>
        <v>-0.61826047027126263</v>
      </c>
      <c r="F10">
        <f>F2*(-1)-F8-F9</f>
        <v>1.9436151898424281</v>
      </c>
    </row>
    <row r="13" spans="1:12">
      <c r="A13" s="1" t="s">
        <v>4</v>
      </c>
      <c r="F13" s="1"/>
      <c r="I13" s="1" t="s">
        <v>33</v>
      </c>
    </row>
    <row r="14" spans="1:12">
      <c r="B14" t="s">
        <v>5</v>
      </c>
      <c r="C14" t="s">
        <v>10</v>
      </c>
      <c r="D14" t="s">
        <v>6</v>
      </c>
      <c r="E14" t="s">
        <v>7</v>
      </c>
      <c r="I14" t="s">
        <v>5</v>
      </c>
      <c r="J14" t="s">
        <v>6</v>
      </c>
      <c r="K14" t="s">
        <v>7</v>
      </c>
    </row>
    <row r="15" spans="1:12">
      <c r="A15">
        <v>2011</v>
      </c>
      <c r="B15">
        <v>30</v>
      </c>
      <c r="C15">
        <f>B15-5</f>
        <v>25</v>
      </c>
      <c r="D15">
        <v>19</v>
      </c>
      <c r="E15">
        <v>20</v>
      </c>
      <c r="H15">
        <v>2011</v>
      </c>
      <c r="I15">
        <f>B15+K3</f>
        <v>49.512195121951223</v>
      </c>
      <c r="J15">
        <f>D15</f>
        <v>19</v>
      </c>
      <c r="K15">
        <f>E15</f>
        <v>20</v>
      </c>
    </row>
    <row r="16" spans="1:12">
      <c r="A16">
        <v>2012</v>
      </c>
      <c r="B16">
        <v>37</v>
      </c>
      <c r="C16">
        <f>B16-5</f>
        <v>32</v>
      </c>
      <c r="D16">
        <v>18</v>
      </c>
      <c r="E16">
        <v>10</v>
      </c>
      <c r="H16">
        <v>2012</v>
      </c>
      <c r="I16">
        <f>B16+K4</f>
        <v>61.065040650406502</v>
      </c>
      <c r="J16">
        <f t="shared" ref="J16:K18" si="0">D16/2</f>
        <v>9</v>
      </c>
      <c r="K16">
        <f t="shared" si="0"/>
        <v>5</v>
      </c>
    </row>
    <row r="17" spans="1:11">
      <c r="A17">
        <v>2013</v>
      </c>
      <c r="B17">
        <v>21</v>
      </c>
      <c r="C17">
        <f>B17-5</f>
        <v>16</v>
      </c>
      <c r="D17">
        <v>19</v>
      </c>
      <c r="E17">
        <v>11</v>
      </c>
      <c r="H17">
        <v>2013</v>
      </c>
      <c r="I17">
        <f>B17+K5</f>
        <v>34.658536585365852</v>
      </c>
      <c r="J17">
        <f t="shared" si="0"/>
        <v>9.5</v>
      </c>
      <c r="K17">
        <f t="shared" si="0"/>
        <v>5.5</v>
      </c>
    </row>
    <row r="18" spans="1:11">
      <c r="A18">
        <v>2014</v>
      </c>
      <c r="B18">
        <v>35</v>
      </c>
      <c r="C18">
        <f>B18-5</f>
        <v>30</v>
      </c>
      <c r="D18">
        <v>19</v>
      </c>
      <c r="E18">
        <v>14</v>
      </c>
      <c r="H18">
        <v>2014</v>
      </c>
      <c r="I18">
        <f>B18+K6</f>
        <v>57.764227642276424</v>
      </c>
      <c r="J18">
        <f t="shared" si="0"/>
        <v>9.5</v>
      </c>
      <c r="K18">
        <f t="shared" si="0"/>
        <v>7</v>
      </c>
    </row>
    <row r="19" spans="1:11">
      <c r="A19">
        <v>2015</v>
      </c>
      <c r="B19">
        <v>25</v>
      </c>
      <c r="C19">
        <f>B19-5</f>
        <v>20</v>
      </c>
      <c r="D19">
        <v>19</v>
      </c>
      <c r="E19">
        <v>14</v>
      </c>
      <c r="H19">
        <v>2015</v>
      </c>
      <c r="I19">
        <f>B19</f>
        <v>25</v>
      </c>
      <c r="J19">
        <f>D19</f>
        <v>19</v>
      </c>
      <c r="K19">
        <f>E19</f>
        <v>14</v>
      </c>
    </row>
    <row r="21" spans="1:11">
      <c r="A21" s="1" t="s">
        <v>27</v>
      </c>
      <c r="J21" s="1"/>
    </row>
    <row r="22" spans="1:11">
      <c r="B22" t="s">
        <v>5</v>
      </c>
      <c r="C22" t="s">
        <v>10</v>
      </c>
      <c r="D22" t="s">
        <v>6</v>
      </c>
      <c r="E22" t="s">
        <v>7</v>
      </c>
      <c r="F22" t="s">
        <v>5</v>
      </c>
      <c r="G22" t="s">
        <v>6</v>
      </c>
      <c r="H22" t="s">
        <v>7</v>
      </c>
    </row>
    <row r="23" spans="1:11">
      <c r="A23">
        <v>2011</v>
      </c>
      <c r="B23">
        <f>I15*0.122</f>
        <v>6.0404878048780493</v>
      </c>
      <c r="C23">
        <f>B23-5*0.122</f>
        <v>5.4304878048780489</v>
      </c>
      <c r="D23">
        <f t="shared" ref="D23:E27" si="1">D15*0.122</f>
        <v>2.3180000000000001</v>
      </c>
      <c r="E23">
        <f t="shared" si="1"/>
        <v>2.44</v>
      </c>
      <c r="F23">
        <f>B23/2</f>
        <v>3.0202439024390246</v>
      </c>
      <c r="G23">
        <f>D23</f>
        <v>2.3180000000000001</v>
      </c>
      <c r="H23">
        <f>E23</f>
        <v>2.44</v>
      </c>
    </row>
    <row r="24" spans="1:11">
      <c r="A24">
        <v>2012</v>
      </c>
      <c r="B24">
        <f>I16*0.122</f>
        <v>7.4499349593495934</v>
      </c>
      <c r="C24">
        <f>B24-5*0.122</f>
        <v>6.8399349593495931</v>
      </c>
      <c r="D24">
        <f t="shared" si="1"/>
        <v>2.1959999999999997</v>
      </c>
      <c r="E24">
        <f t="shared" si="1"/>
        <v>1.22</v>
      </c>
      <c r="F24">
        <f>B24/2</f>
        <v>3.7249674796747967</v>
      </c>
      <c r="G24">
        <f t="shared" ref="G24:H27" si="2">0.67*D24</f>
        <v>1.47132</v>
      </c>
      <c r="H24">
        <f t="shared" si="2"/>
        <v>0.81740000000000002</v>
      </c>
    </row>
    <row r="25" spans="1:11">
      <c r="A25">
        <v>2013</v>
      </c>
      <c r="B25">
        <f>I17*0.122</f>
        <v>4.2283414634146341</v>
      </c>
      <c r="C25">
        <f>B25-5*0.122</f>
        <v>3.6183414634146343</v>
      </c>
      <c r="D25">
        <f t="shared" si="1"/>
        <v>2.3180000000000001</v>
      </c>
      <c r="E25">
        <f t="shared" si="1"/>
        <v>1.3420000000000001</v>
      </c>
      <c r="F25">
        <f>B25/2</f>
        <v>2.1141707317073171</v>
      </c>
      <c r="G25">
        <f t="shared" si="2"/>
        <v>1.5530600000000001</v>
      </c>
      <c r="H25">
        <f t="shared" si="2"/>
        <v>0.89914000000000016</v>
      </c>
    </row>
    <row r="26" spans="1:11">
      <c r="A26">
        <v>2014</v>
      </c>
      <c r="B26">
        <f>I18*0.122</f>
        <v>7.0472357723577232</v>
      </c>
      <c r="C26">
        <f>B26-5*0.122</f>
        <v>6.4372357723577229</v>
      </c>
      <c r="D26">
        <f t="shared" si="1"/>
        <v>2.3180000000000001</v>
      </c>
      <c r="E26">
        <f t="shared" si="1"/>
        <v>1.708</v>
      </c>
      <c r="F26">
        <f>B26/2</f>
        <v>3.5236178861788616</v>
      </c>
      <c r="G26">
        <f t="shared" si="2"/>
        <v>1.5530600000000001</v>
      </c>
      <c r="H26">
        <f t="shared" si="2"/>
        <v>1.14436</v>
      </c>
    </row>
    <row r="27" spans="1:11">
      <c r="A27">
        <v>2015</v>
      </c>
      <c r="B27">
        <f>I19*0.122</f>
        <v>3.05</v>
      </c>
      <c r="C27">
        <f>B27-5*0.122</f>
        <v>2.44</v>
      </c>
      <c r="D27">
        <f t="shared" si="1"/>
        <v>2.3180000000000001</v>
      </c>
      <c r="E27">
        <f t="shared" si="1"/>
        <v>1.708</v>
      </c>
      <c r="F27">
        <f>B27</f>
        <v>3.05</v>
      </c>
      <c r="G27">
        <f t="shared" si="2"/>
        <v>1.5530600000000001</v>
      </c>
      <c r="H27">
        <f t="shared" si="2"/>
        <v>1.14436</v>
      </c>
    </row>
    <row r="29" spans="1:11">
      <c r="A29" s="1" t="s">
        <v>12</v>
      </c>
    </row>
    <row r="30" spans="1:11">
      <c r="A30" s="1"/>
      <c r="B30" t="s">
        <v>14</v>
      </c>
      <c r="C30" t="s">
        <v>13</v>
      </c>
      <c r="E30" s="1"/>
      <c r="I30" s="1"/>
    </row>
    <row r="31" spans="1:11">
      <c r="A31">
        <v>2011</v>
      </c>
      <c r="B31">
        <f>C23</f>
        <v>5.4304878048780489</v>
      </c>
      <c r="C31">
        <f>0.06*B31/1.03</f>
        <v>0.31633909542978927</v>
      </c>
    </row>
    <row r="32" spans="1:11">
      <c r="A32">
        <v>2012</v>
      </c>
      <c r="B32">
        <f>C24/1.03</f>
        <v>6.640713552766595</v>
      </c>
      <c r="C32">
        <f>(0.06*(B32+B31))/1.03^2</f>
        <v>0.68269590108273981</v>
      </c>
    </row>
    <row r="33" spans="1:11">
      <c r="A33">
        <v>2013</v>
      </c>
      <c r="B33">
        <f>C25/1.03^2</f>
        <v>3.4106338612636766</v>
      </c>
      <c r="C33">
        <f>(0.06*(B33+B32+B31))/1.03^3</f>
        <v>0.85008434232383667</v>
      </c>
    </row>
    <row r="34" spans="1:11">
      <c r="A34">
        <v>2014</v>
      </c>
      <c r="B34">
        <f>C26/1.03^3</f>
        <v>5.8909826263629643</v>
      </c>
      <c r="C34">
        <f>(0.06*(B34+B33+B32+B31))/1.03^4</f>
        <v>1.1393683099790906</v>
      </c>
    </row>
    <row r="35" spans="1:11">
      <c r="A35">
        <v>2015</v>
      </c>
      <c r="B35">
        <f>C27/1.03^4</f>
        <v>2.1679083969142812</v>
      </c>
      <c r="C35">
        <f>(0.06*(B35+B34+B33+B32+B31))/1.03^5</f>
        <v>1.2183862348375247</v>
      </c>
    </row>
    <row r="36" spans="1:11">
      <c r="B36">
        <f>SUM(B31:B35)</f>
        <v>23.540726242185567</v>
      </c>
      <c r="C36">
        <f>SUM(C31:C35)</f>
        <v>4.2068738836529818</v>
      </c>
    </row>
    <row r="38" spans="1:11">
      <c r="B38" t="s">
        <v>15</v>
      </c>
    </row>
    <row r="39" spans="1:11">
      <c r="B39" t="s">
        <v>16</v>
      </c>
      <c r="C39" s="2" t="s">
        <v>17</v>
      </c>
      <c r="D39" s="5" t="s">
        <v>26</v>
      </c>
      <c r="G39" s="2"/>
      <c r="K39" s="2"/>
    </row>
    <row r="40" spans="1:11">
      <c r="B40">
        <f>SUM(C23:C27)/1.03^5</f>
        <v>21.363369154058208</v>
      </c>
      <c r="C40">
        <f>0.333*SUM(C23:C27)/1.03^5</f>
        <v>7.1140019283013851</v>
      </c>
      <c r="D40">
        <v>0</v>
      </c>
    </row>
    <row r="42" spans="1:11">
      <c r="A42" s="1" t="s">
        <v>18</v>
      </c>
      <c r="B42" t="s">
        <v>9</v>
      </c>
      <c r="C42" t="s">
        <v>30</v>
      </c>
      <c r="D42" t="s">
        <v>21</v>
      </c>
      <c r="E42" s="1"/>
      <c r="I42" s="1"/>
    </row>
    <row r="43" spans="1:11">
      <c r="A43" t="s">
        <v>19</v>
      </c>
      <c r="B43">
        <f>B36-C36-B40</f>
        <v>-2.0295167955256233</v>
      </c>
      <c r="C43">
        <f>B36-C36-C40</f>
        <v>12.219850430231201</v>
      </c>
      <c r="D43">
        <f>B36-C36</f>
        <v>19.333852358532585</v>
      </c>
    </row>
    <row r="44" spans="1:11">
      <c r="A44" t="s">
        <v>20</v>
      </c>
      <c r="B44" s="1">
        <f>B43+C10+E10</f>
        <v>5.5541679275951523</v>
      </c>
      <c r="C44" s="1">
        <f>C43+C10+E10</f>
        <v>19.803535153351977</v>
      </c>
      <c r="D44" s="1">
        <f>D43+C10+(-1)*E2-E8</f>
        <v>30.799276611382098</v>
      </c>
    </row>
  </sheetData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9"/>
  <sheetViews>
    <sheetView workbookViewId="0">
      <selection sqref="A1:IV65536"/>
    </sheetView>
  </sheetViews>
  <sheetFormatPr baseColWidth="10" defaultRowHeight="15"/>
  <sheetData>
    <row r="1" spans="1:7">
      <c r="E1" t="s">
        <v>3</v>
      </c>
      <c r="F1" t="s">
        <v>2</v>
      </c>
    </row>
    <row r="2" spans="1:7">
      <c r="A2" s="1" t="s">
        <v>0</v>
      </c>
      <c r="D2" s="1" t="s">
        <v>1</v>
      </c>
      <c r="E2">
        <v>-4.5</v>
      </c>
      <c r="F2">
        <v>-4.5</v>
      </c>
    </row>
    <row r="3" spans="1:7">
      <c r="A3">
        <v>2011</v>
      </c>
      <c r="D3">
        <v>2011</v>
      </c>
      <c r="E3">
        <f>0.06*4.5/1.03</f>
        <v>0.26213592233009708</v>
      </c>
      <c r="F3">
        <f>0.06*2.25/1.03</f>
        <v>0.13106796116504854</v>
      </c>
    </row>
    <row r="4" spans="1:7">
      <c r="A4">
        <v>2012</v>
      </c>
      <c r="D4">
        <v>2012</v>
      </c>
      <c r="E4">
        <f>0.06*(4.5)/1.03^2</f>
        <v>0.25450089546611371</v>
      </c>
      <c r="F4">
        <f>0.06*(2.25)/1.03^2</f>
        <v>0.12725044773305685</v>
      </c>
    </row>
    <row r="5" spans="1:7">
      <c r="A5">
        <v>2013</v>
      </c>
      <c r="B5">
        <v>1.9</v>
      </c>
      <c r="C5">
        <f>B5/1.03^3</f>
        <v>1.7387691527710032</v>
      </c>
      <c r="D5">
        <v>2013</v>
      </c>
      <c r="E5">
        <f>0.06*(4.5)/1.03^3</f>
        <v>0.24708824802535309</v>
      </c>
      <c r="F5">
        <f>0.06*(2.25)/1.03^3</f>
        <v>0.12354412401267655</v>
      </c>
    </row>
    <row r="6" spans="1:7">
      <c r="A6">
        <v>2014</v>
      </c>
      <c r="B6">
        <v>1.9</v>
      </c>
      <c r="C6">
        <f>B6/1.03^4</f>
        <v>1.6881253910398091</v>
      </c>
    </row>
    <row r="7" spans="1:7">
      <c r="A7">
        <v>2015</v>
      </c>
      <c r="B7">
        <v>1.9</v>
      </c>
      <c r="C7">
        <f>B7/1.03^5</f>
        <v>1.6389566903299118</v>
      </c>
    </row>
    <row r="8" spans="1:7">
      <c r="A8">
        <v>2016</v>
      </c>
      <c r="B8">
        <v>1.9</v>
      </c>
      <c r="C8">
        <f>B8/1.03^6</f>
        <v>1.5912200876989433</v>
      </c>
      <c r="E8">
        <f>SUM(E3:E7)</f>
        <v>0.76372506582156396</v>
      </c>
      <c r="F8">
        <f>SUM(F3:F7)</f>
        <v>0.38186253291078198</v>
      </c>
    </row>
    <row r="9" spans="1:7">
      <c r="A9">
        <v>2017</v>
      </c>
      <c r="B9">
        <v>1.9</v>
      </c>
      <c r="C9">
        <f>B9/1.03^7</f>
        <v>1.544873871552372</v>
      </c>
      <c r="E9">
        <f>4.5/(1.03)^3</f>
        <v>4.1181374670892179</v>
      </c>
      <c r="F9">
        <f>2.25/1.03^3</f>
        <v>2.059068733544609</v>
      </c>
    </row>
    <row r="10" spans="1:7">
      <c r="C10">
        <f>SUM(C5:C9)</f>
        <v>8.2019451933920386</v>
      </c>
      <c r="E10">
        <f>(E2)*(-1)-E8-E9</f>
        <v>-0.38186253291078209</v>
      </c>
      <c r="F10">
        <f>F2*(-1)-F8-F9</f>
        <v>2.059068733544609</v>
      </c>
    </row>
    <row r="13" spans="1:7">
      <c r="A13" s="1" t="s">
        <v>4</v>
      </c>
      <c r="F13" s="1" t="s">
        <v>8</v>
      </c>
    </row>
    <row r="14" spans="1:7">
      <c r="B14" t="s">
        <v>5</v>
      </c>
      <c r="C14" t="s">
        <v>6</v>
      </c>
      <c r="D14" t="s">
        <v>7</v>
      </c>
      <c r="E14" t="s">
        <v>5</v>
      </c>
      <c r="F14" t="s">
        <v>6</v>
      </c>
      <c r="G14" t="s">
        <v>7</v>
      </c>
    </row>
    <row r="15" spans="1:7">
      <c r="A15">
        <v>2011</v>
      </c>
      <c r="B15">
        <v>49.512195121951223</v>
      </c>
      <c r="C15">
        <v>19</v>
      </c>
      <c r="D15">
        <v>20</v>
      </c>
      <c r="E15">
        <f>B15/2</f>
        <v>24.756097560975611</v>
      </c>
      <c r="F15">
        <f>C15</f>
        <v>19</v>
      </c>
      <c r="G15">
        <f>D15</f>
        <v>20</v>
      </c>
    </row>
    <row r="16" spans="1:7">
      <c r="A16">
        <v>2012</v>
      </c>
      <c r="B16">
        <v>61.065040650406502</v>
      </c>
      <c r="C16">
        <v>18</v>
      </c>
      <c r="D16">
        <v>10</v>
      </c>
      <c r="E16">
        <f>B16/2</f>
        <v>30.532520325203251</v>
      </c>
      <c r="F16">
        <f>C16*0.67</f>
        <v>12.06</v>
      </c>
      <c r="G16">
        <f>0.67*D16</f>
        <v>6.7</v>
      </c>
    </row>
    <row r="17" spans="1:11">
      <c r="A17">
        <v>2013</v>
      </c>
      <c r="B17">
        <v>34.658536585365852</v>
      </c>
      <c r="C17">
        <v>19</v>
      </c>
      <c r="D17">
        <v>11</v>
      </c>
      <c r="E17">
        <f>B17/2</f>
        <v>17.329268292682926</v>
      </c>
      <c r="F17">
        <f>C17*0.67</f>
        <v>12.73</v>
      </c>
      <c r="G17">
        <f>0.67*D17</f>
        <v>7.37</v>
      </c>
    </row>
    <row r="20" spans="1:11">
      <c r="A20" s="1" t="s">
        <v>27</v>
      </c>
      <c r="I20" s="1" t="s">
        <v>24</v>
      </c>
    </row>
    <row r="21" spans="1:11">
      <c r="B21" t="s">
        <v>5</v>
      </c>
      <c r="C21" t="s">
        <v>6</v>
      </c>
      <c r="D21" t="s">
        <v>7</v>
      </c>
      <c r="E21" t="s">
        <v>5</v>
      </c>
      <c r="F21" t="s">
        <v>6</v>
      </c>
      <c r="G21" t="s">
        <v>7</v>
      </c>
      <c r="I21" t="s">
        <v>5</v>
      </c>
      <c r="J21" t="s">
        <v>6</v>
      </c>
      <c r="K21" t="s">
        <v>7</v>
      </c>
    </row>
    <row r="22" spans="1:11">
      <c r="A22">
        <v>2011</v>
      </c>
      <c r="B22">
        <f t="shared" ref="B22:D24" si="0">B15*0.122</f>
        <v>6.0404878048780493</v>
      </c>
      <c r="C22">
        <f t="shared" si="0"/>
        <v>2.3180000000000001</v>
      </c>
      <c r="D22">
        <f t="shared" si="0"/>
        <v>2.44</v>
      </c>
      <c r="E22">
        <f>B22/2</f>
        <v>3.0202439024390246</v>
      </c>
      <c r="F22">
        <f>C22</f>
        <v>2.3180000000000001</v>
      </c>
      <c r="G22">
        <f>D22</f>
        <v>2.44</v>
      </c>
      <c r="I22">
        <f>B22-E22+B23-E23+B24-E24</f>
        <v>8.8593821138211393</v>
      </c>
      <c r="J22">
        <f>C23-F23+C24-F24</f>
        <v>1.4896199999999997</v>
      </c>
      <c r="K22">
        <f>D23-G23+D24-G24</f>
        <v>0.84545999999999999</v>
      </c>
    </row>
    <row r="23" spans="1:11">
      <c r="A23">
        <v>2012</v>
      </c>
      <c r="B23">
        <f t="shared" si="0"/>
        <v>7.4499349593495934</v>
      </c>
      <c r="C23">
        <f t="shared" si="0"/>
        <v>2.1959999999999997</v>
      </c>
      <c r="D23">
        <f t="shared" si="0"/>
        <v>1.22</v>
      </c>
      <c r="E23">
        <f>B23/2</f>
        <v>3.7249674796747967</v>
      </c>
      <c r="F23">
        <f>0.67*C23</f>
        <v>1.47132</v>
      </c>
      <c r="G23">
        <f>0.67*D23</f>
        <v>0.81740000000000002</v>
      </c>
    </row>
    <row r="24" spans="1:11">
      <c r="A24">
        <v>2013</v>
      </c>
      <c r="B24">
        <f t="shared" si="0"/>
        <v>4.2283414634146341</v>
      </c>
      <c r="C24">
        <f t="shared" si="0"/>
        <v>2.3180000000000001</v>
      </c>
      <c r="D24">
        <f t="shared" si="0"/>
        <v>1.3420000000000001</v>
      </c>
      <c r="E24">
        <f>B24/2</f>
        <v>2.1141707317073171</v>
      </c>
      <c r="F24">
        <f>0.67*C24</f>
        <v>1.5530600000000001</v>
      </c>
      <c r="G24">
        <f>0.67*D24</f>
        <v>0.89914000000000016</v>
      </c>
    </row>
    <row r="27" spans="1:11">
      <c r="A27" s="1" t="s">
        <v>12</v>
      </c>
    </row>
    <row r="28" spans="1:11">
      <c r="B28" t="s">
        <v>14</v>
      </c>
      <c r="C28" t="s">
        <v>13</v>
      </c>
      <c r="E28" s="1"/>
      <c r="F28" t="s">
        <v>14</v>
      </c>
      <c r="G28" t="s">
        <v>13</v>
      </c>
    </row>
    <row r="29" spans="1:11">
      <c r="A29">
        <v>2011</v>
      </c>
      <c r="B29">
        <f>E22</f>
        <v>3.0202439024390246</v>
      </c>
      <c r="C29">
        <f>0.06*B29/1.03</f>
        <v>0.17593653800615677</v>
      </c>
      <c r="E29">
        <v>2011</v>
      </c>
      <c r="F29">
        <f>E22</f>
        <v>3.0202439024390246</v>
      </c>
      <c r="G29">
        <f>0.06*F29/1.03</f>
        <v>0.17593653800615677</v>
      </c>
    </row>
    <row r="30" spans="1:11">
      <c r="A30">
        <v>2012</v>
      </c>
      <c r="B30">
        <f>E23/1.03</f>
        <v>3.6164732812376665</v>
      </c>
      <c r="C30">
        <f>(0.06*(B30+B29))/1.03^2</f>
        <v>0.37534454804468043</v>
      </c>
      <c r="E30">
        <v>2012</v>
      </c>
      <c r="F30">
        <f>(E23+F23+G23)/1.03</f>
        <v>5.8385315336648507</v>
      </c>
      <c r="G30">
        <f>(0.06*(F30+F29))/1.03^2</f>
        <v>0.50101472916036627</v>
      </c>
    </row>
    <row r="31" spans="1:11">
      <c r="A31">
        <v>2013</v>
      </c>
      <c r="B31">
        <f>E24/1.03^2</f>
        <v>1.9928086829176332</v>
      </c>
      <c r="C31">
        <f>(0.06*(B31+B30+B29))/1.03^3</f>
        <v>0.47383431725916858</v>
      </c>
      <c r="E31">
        <v>2013</v>
      </c>
      <c r="F31">
        <f>(E24+F24+G24)/1.03^2</f>
        <v>4.3042423712954259</v>
      </c>
      <c r="G31">
        <f>(0.06*(F31+F30+F29))/1.03^3</f>
        <v>0.72276155750151494</v>
      </c>
    </row>
    <row r="32" spans="1:11">
      <c r="B32">
        <f>SUM(B29:B31)</f>
        <v>8.6295258665943244</v>
      </c>
      <c r="C32">
        <f>SUM(C29:C31)</f>
        <v>1.0251154033100058</v>
      </c>
      <c r="F32">
        <f>SUM(F29:F31)</f>
        <v>13.163017807399303</v>
      </c>
      <c r="G32">
        <f>SUM(G29:G31)</f>
        <v>1.3997128246680379</v>
      </c>
    </row>
    <row r="34" spans="1:9">
      <c r="B34" t="s">
        <v>25</v>
      </c>
      <c r="C34" t="s">
        <v>22</v>
      </c>
      <c r="F34" t="s">
        <v>25</v>
      </c>
      <c r="G34" t="s">
        <v>22</v>
      </c>
      <c r="I34" s="1"/>
    </row>
    <row r="35" spans="1:9">
      <c r="B35">
        <f>SUM(E22:E24)/(1.03)^3</f>
        <v>8.1075896484859786</v>
      </c>
      <c r="C35" s="3">
        <f>I22</f>
        <v>8.8593821138211393</v>
      </c>
      <c r="F35">
        <f>SUM(E22+E23+F23+G23+E24+F24+G24)/1.03^3</f>
        <v>12.446203044146561</v>
      </c>
      <c r="G35" s="4">
        <f>I22+J22+K22</f>
        <v>11.194462113821139</v>
      </c>
    </row>
    <row r="37" spans="1:9">
      <c r="A37" s="1" t="s">
        <v>18</v>
      </c>
      <c r="B37" t="s">
        <v>23</v>
      </c>
      <c r="E37" s="1" t="s">
        <v>18</v>
      </c>
      <c r="F37" t="s">
        <v>31</v>
      </c>
    </row>
    <row r="38" spans="1:9">
      <c r="A38" t="s">
        <v>19</v>
      </c>
      <c r="B38" s="3">
        <f>B32-C32-B35+C35</f>
        <v>8.3562029286194797</v>
      </c>
      <c r="E38" t="s">
        <v>19</v>
      </c>
      <c r="F38" s="4">
        <f>F32-F35-G32+G35</f>
        <v>10.511564052405843</v>
      </c>
    </row>
    <row r="39" spans="1:9">
      <c r="A39" t="s">
        <v>20</v>
      </c>
      <c r="B39" s="7">
        <f>B38+C10+F10</f>
        <v>18.617216855556126</v>
      </c>
      <c r="E39" t="s">
        <v>20</v>
      </c>
      <c r="F39" s="6">
        <f>C10+F10+F38</f>
        <v>20.772577979342493</v>
      </c>
    </row>
  </sheetData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44"/>
  <sheetViews>
    <sheetView workbookViewId="0">
      <selection activeCell="G37" sqref="G37"/>
    </sheetView>
  </sheetViews>
  <sheetFormatPr baseColWidth="10" defaultRowHeight="15"/>
  <sheetData>
    <row r="1" spans="1:12">
      <c r="E1" t="s">
        <v>3</v>
      </c>
      <c r="F1" t="s">
        <v>2</v>
      </c>
    </row>
    <row r="2" spans="1:12">
      <c r="A2" s="1" t="s">
        <v>0</v>
      </c>
      <c r="D2" s="1" t="s">
        <v>1</v>
      </c>
      <c r="E2">
        <v>-6.7</v>
      </c>
      <c r="F2">
        <v>-6.7</v>
      </c>
      <c r="I2" s="1" t="s">
        <v>32</v>
      </c>
    </row>
    <row r="3" spans="1:12">
      <c r="A3">
        <v>2011</v>
      </c>
      <c r="D3">
        <v>1</v>
      </c>
      <c r="E3">
        <f>0.06*6.7/1.03</f>
        <v>0.3902912621359223</v>
      </c>
      <c r="F3">
        <f>0.06*3.35/1.03</f>
        <v>0.19514563106796115</v>
      </c>
      <c r="H3">
        <v>2011</v>
      </c>
      <c r="I3">
        <f>B15+B16+B17+B18</f>
        <v>123</v>
      </c>
      <c r="J3">
        <f>B15/$I$3</f>
        <v>0.24390243902439024</v>
      </c>
      <c r="K3">
        <f>J3*80</f>
        <v>19.512195121951219</v>
      </c>
      <c r="L3">
        <f>K3*0.181</f>
        <v>3.5317073170731708</v>
      </c>
    </row>
    <row r="4" spans="1:12">
      <c r="A4">
        <v>2012</v>
      </c>
      <c r="D4">
        <v>2</v>
      </c>
      <c r="E4">
        <f>0.06*(6.7)/1.03^2</f>
        <v>0.37892355547176926</v>
      </c>
      <c r="F4">
        <f>0.06*(3.35)/1.03^2</f>
        <v>0.18946177773588463</v>
      </c>
      <c r="H4">
        <v>2012</v>
      </c>
      <c r="J4">
        <f>B16/$I$3</f>
        <v>0.30081300813008133</v>
      </c>
      <c r="K4">
        <f>J4*80</f>
        <v>24.065040650406505</v>
      </c>
      <c r="L4">
        <f>K4*0.181</f>
        <v>4.355772357723577</v>
      </c>
    </row>
    <row r="5" spans="1:12">
      <c r="A5">
        <v>2013</v>
      </c>
      <c r="B5">
        <v>2.9</v>
      </c>
      <c r="C5">
        <f>B5/1.03^3</f>
        <v>2.6539108121241628</v>
      </c>
      <c r="D5">
        <v>3</v>
      </c>
      <c r="E5">
        <f>0.06*(6.7)/1.03^3</f>
        <v>0.3678869470599701</v>
      </c>
      <c r="F5">
        <f>0.06*(3.35)/1.03^3</f>
        <v>0.18394347352998505</v>
      </c>
      <c r="H5">
        <v>2013</v>
      </c>
      <c r="J5">
        <f>B17/$I$3</f>
        <v>0.17073170731707318</v>
      </c>
      <c r="K5">
        <f>J5*80</f>
        <v>13.658536585365855</v>
      </c>
      <c r="L5">
        <f>K5*0.181</f>
        <v>2.4721951219512195</v>
      </c>
    </row>
    <row r="6" spans="1:12">
      <c r="A6">
        <v>2014</v>
      </c>
      <c r="B6">
        <v>2.9</v>
      </c>
      <c r="C6">
        <f>B6/1.03^4</f>
        <v>2.5766124389554981</v>
      </c>
      <c r="D6">
        <v>4</v>
      </c>
      <c r="E6">
        <f>0.06*(6.7)/1.03^4</f>
        <v>0.35717179326210696</v>
      </c>
      <c r="F6">
        <f>0.06*(3.35)/1.03^4</f>
        <v>0.17858589663105348</v>
      </c>
      <c r="H6">
        <v>2014</v>
      </c>
      <c r="J6">
        <f>B18/$I$3</f>
        <v>0.28455284552845528</v>
      </c>
      <c r="K6">
        <f>J6*80</f>
        <v>22.764227642276424</v>
      </c>
      <c r="L6">
        <f>K6*0.181</f>
        <v>4.1203252032520323</v>
      </c>
    </row>
    <row r="7" spans="1:12">
      <c r="A7">
        <v>2015</v>
      </c>
      <c r="B7">
        <v>2.9</v>
      </c>
      <c r="C7">
        <f>B7/1.03^5</f>
        <v>2.5015654747140759</v>
      </c>
      <c r="D7">
        <v>5</v>
      </c>
      <c r="E7">
        <f>0.06*(6.7)/1.03^5</f>
        <v>0.34676873132243397</v>
      </c>
      <c r="F7">
        <f>0.06*(3.35)/1.03^5</f>
        <v>0.17338436566121698</v>
      </c>
      <c r="J7">
        <f>SUM(J3:J6)</f>
        <v>1</v>
      </c>
      <c r="K7">
        <f>J7*80</f>
        <v>80</v>
      </c>
      <c r="L7">
        <f>SUM(L3:L6)</f>
        <v>14.48</v>
      </c>
    </row>
    <row r="8" spans="1:12">
      <c r="A8">
        <v>2016</v>
      </c>
      <c r="B8">
        <v>2.9</v>
      </c>
      <c r="C8">
        <f>B8/1.03^6</f>
        <v>2.4287043443825977</v>
      </c>
      <c r="E8">
        <f>SUM(E3:E7)</f>
        <v>1.8410422892522027</v>
      </c>
      <c r="F8">
        <f>SUM(F3:F7)</f>
        <v>0.92052114462610135</v>
      </c>
    </row>
    <row r="9" spans="1:12">
      <c r="A9">
        <v>2017</v>
      </c>
      <c r="B9">
        <v>2.9</v>
      </c>
      <c r="C9">
        <f>B9/1.03^7</f>
        <v>2.3579653828957259</v>
      </c>
      <c r="E9">
        <f>6.7/(1.03)^5</f>
        <v>5.7794788553738998</v>
      </c>
      <c r="F9">
        <f>3.35/1.03^5</f>
        <v>2.8897394276869499</v>
      </c>
    </row>
    <row r="10" spans="1:12">
      <c r="C10">
        <f>SUM(C5:C9)</f>
        <v>12.518758453072062</v>
      </c>
      <c r="E10">
        <f>(E2)*(-1)-E8-E9</f>
        <v>-0.92052114462610213</v>
      </c>
      <c r="F10">
        <f>F2*(-1)-F8-F9</f>
        <v>2.889739427686949</v>
      </c>
    </row>
    <row r="13" spans="1:12">
      <c r="A13" s="1" t="s">
        <v>4</v>
      </c>
      <c r="F13" s="1"/>
      <c r="I13" s="1" t="s">
        <v>33</v>
      </c>
    </row>
    <row r="14" spans="1:12">
      <c r="B14" t="s">
        <v>5</v>
      </c>
      <c r="C14" t="s">
        <v>10</v>
      </c>
      <c r="D14" t="s">
        <v>6</v>
      </c>
      <c r="E14" t="s">
        <v>7</v>
      </c>
      <c r="I14" t="s">
        <v>5</v>
      </c>
      <c r="J14" t="s">
        <v>6</v>
      </c>
      <c r="K14" t="s">
        <v>7</v>
      </c>
    </row>
    <row r="15" spans="1:12">
      <c r="A15">
        <v>2011</v>
      </c>
      <c r="B15">
        <v>30</v>
      </c>
      <c r="C15">
        <f>B15-5</f>
        <v>25</v>
      </c>
      <c r="D15">
        <v>19</v>
      </c>
      <c r="E15">
        <v>20</v>
      </c>
      <c r="H15">
        <v>2011</v>
      </c>
      <c r="I15">
        <f>B15+K3</f>
        <v>49.512195121951223</v>
      </c>
      <c r="J15">
        <f>D15</f>
        <v>19</v>
      </c>
      <c r="K15">
        <f>E15</f>
        <v>20</v>
      </c>
    </row>
    <row r="16" spans="1:12">
      <c r="A16">
        <v>2012</v>
      </c>
      <c r="B16">
        <v>37</v>
      </c>
      <c r="C16">
        <f>B16-5</f>
        <v>32</v>
      </c>
      <c r="D16">
        <v>18</v>
      </c>
      <c r="E16">
        <v>10</v>
      </c>
      <c r="H16">
        <v>2012</v>
      </c>
      <c r="I16">
        <f>B16+K4</f>
        <v>61.065040650406502</v>
      </c>
      <c r="J16">
        <f t="shared" ref="J16:K18" si="0">D16/2</f>
        <v>9</v>
      </c>
      <c r="K16">
        <f t="shared" si="0"/>
        <v>5</v>
      </c>
    </row>
    <row r="17" spans="1:11">
      <c r="A17">
        <v>2013</v>
      </c>
      <c r="B17">
        <v>21</v>
      </c>
      <c r="C17">
        <f>B17-5</f>
        <v>16</v>
      </c>
      <c r="D17">
        <v>19</v>
      </c>
      <c r="E17">
        <v>11</v>
      </c>
      <c r="H17">
        <v>2013</v>
      </c>
      <c r="I17">
        <f>B17+K5</f>
        <v>34.658536585365852</v>
      </c>
      <c r="J17">
        <f t="shared" si="0"/>
        <v>9.5</v>
      </c>
      <c r="K17">
        <f t="shared" si="0"/>
        <v>5.5</v>
      </c>
    </row>
    <row r="18" spans="1:11">
      <c r="A18">
        <v>2014</v>
      </c>
      <c r="B18">
        <v>35</v>
      </c>
      <c r="C18">
        <f>B18-5</f>
        <v>30</v>
      </c>
      <c r="D18">
        <v>19</v>
      </c>
      <c r="E18">
        <v>14</v>
      </c>
      <c r="H18">
        <v>2014</v>
      </c>
      <c r="I18">
        <f>B18+K6</f>
        <v>57.764227642276424</v>
      </c>
      <c r="J18">
        <f t="shared" si="0"/>
        <v>9.5</v>
      </c>
      <c r="K18">
        <f t="shared" si="0"/>
        <v>7</v>
      </c>
    </row>
    <row r="19" spans="1:11">
      <c r="A19">
        <v>2015</v>
      </c>
      <c r="B19">
        <v>25</v>
      </c>
      <c r="C19">
        <f>B19-5</f>
        <v>20</v>
      </c>
      <c r="D19">
        <v>19</v>
      </c>
      <c r="E19">
        <v>14</v>
      </c>
      <c r="H19">
        <v>2015</v>
      </c>
      <c r="I19">
        <f>B19</f>
        <v>25</v>
      </c>
      <c r="J19">
        <f>D19</f>
        <v>19</v>
      </c>
      <c r="K19">
        <f>E19</f>
        <v>14</v>
      </c>
    </row>
    <row r="21" spans="1:11">
      <c r="A21" s="1" t="s">
        <v>29</v>
      </c>
      <c r="J21" s="1"/>
    </row>
    <row r="22" spans="1:11">
      <c r="B22" t="s">
        <v>5</v>
      </c>
      <c r="C22" t="s">
        <v>10</v>
      </c>
      <c r="D22" t="s">
        <v>6</v>
      </c>
      <c r="E22" t="s">
        <v>7</v>
      </c>
    </row>
    <row r="23" spans="1:11">
      <c r="A23">
        <v>2011</v>
      </c>
      <c r="B23">
        <f>I15*0.184</f>
        <v>9.1102439024390254</v>
      </c>
      <c r="C23">
        <f>B23-5*0.184</f>
        <v>8.1902439024390254</v>
      </c>
      <c r="D23">
        <f t="shared" ref="D23:E27" si="1">D15*0.184</f>
        <v>3.496</v>
      </c>
      <c r="E23">
        <f t="shared" si="1"/>
        <v>3.6799999999999997</v>
      </c>
    </row>
    <row r="24" spans="1:11">
      <c r="A24">
        <v>2012</v>
      </c>
      <c r="B24">
        <f>I16*0.184</f>
        <v>11.235967479674796</v>
      </c>
      <c r="C24">
        <f>B24-5*0.184</f>
        <v>10.315967479674796</v>
      </c>
      <c r="D24">
        <f t="shared" si="1"/>
        <v>3.3119999999999998</v>
      </c>
      <c r="E24">
        <f t="shared" si="1"/>
        <v>1.8399999999999999</v>
      </c>
    </row>
    <row r="25" spans="1:11">
      <c r="A25">
        <v>2013</v>
      </c>
      <c r="B25">
        <f>I17*0.184</f>
        <v>6.3771707317073165</v>
      </c>
      <c r="C25">
        <f>B25-5*0.184</f>
        <v>5.4571707317073166</v>
      </c>
      <c r="D25">
        <f t="shared" si="1"/>
        <v>3.496</v>
      </c>
      <c r="E25">
        <f t="shared" si="1"/>
        <v>2.024</v>
      </c>
    </row>
    <row r="26" spans="1:11">
      <c r="A26">
        <v>2014</v>
      </c>
      <c r="B26">
        <f>I18*0.184</f>
        <v>10.628617886178862</v>
      </c>
      <c r="C26">
        <f>B26-5*0.184</f>
        <v>9.7086178861788621</v>
      </c>
      <c r="D26">
        <f t="shared" si="1"/>
        <v>3.496</v>
      </c>
      <c r="E26">
        <f t="shared" si="1"/>
        <v>2.5760000000000001</v>
      </c>
    </row>
    <row r="27" spans="1:11">
      <c r="A27">
        <v>2015</v>
      </c>
      <c r="B27">
        <f>I19*0.184</f>
        <v>4.5999999999999996</v>
      </c>
      <c r="C27">
        <f>B27-5*0.184</f>
        <v>3.6799999999999997</v>
      </c>
      <c r="D27">
        <f t="shared" si="1"/>
        <v>3.496</v>
      </c>
      <c r="E27">
        <f t="shared" si="1"/>
        <v>2.5760000000000001</v>
      </c>
    </row>
    <row r="29" spans="1:11">
      <c r="A29" s="1" t="s">
        <v>12</v>
      </c>
    </row>
    <row r="30" spans="1:11">
      <c r="A30" s="1"/>
      <c r="B30" t="s">
        <v>14</v>
      </c>
      <c r="C30" t="s">
        <v>13</v>
      </c>
      <c r="E30" s="1"/>
      <c r="I30" s="1"/>
    </row>
    <row r="31" spans="1:11">
      <c r="A31">
        <v>2011</v>
      </c>
      <c r="B31">
        <f>C23</f>
        <v>8.1902439024390254</v>
      </c>
      <c r="C31">
        <f>0.06*B31/1.03</f>
        <v>0.47710158654984614</v>
      </c>
    </row>
    <row r="32" spans="1:11">
      <c r="A32">
        <v>2012</v>
      </c>
      <c r="B32">
        <f>C24/1.03</f>
        <v>10.015502407451258</v>
      </c>
      <c r="C32">
        <f>(0.06*(B32+B31))/1.03^2</f>
        <v>1.0296397196657716</v>
      </c>
    </row>
    <row r="33" spans="1:11">
      <c r="A33">
        <v>2013</v>
      </c>
      <c r="B33">
        <f>C25/1.03^2</f>
        <v>5.1439068071517742</v>
      </c>
      <c r="C33">
        <f>(0.06*(B33+B32+B31))/1.03^3</f>
        <v>1.2820944179310325</v>
      </c>
    </row>
    <row r="34" spans="1:11">
      <c r="A34">
        <v>2014</v>
      </c>
      <c r="B34">
        <f>C26/1.03^3</f>
        <v>8.8847606823834884</v>
      </c>
      <c r="C34">
        <f>(0.06*(B34+B33+B32+B31))/1.03^4</f>
        <v>1.7183915494766611</v>
      </c>
    </row>
    <row r="35" spans="1:11">
      <c r="A35">
        <v>2015</v>
      </c>
      <c r="B35">
        <f>C27/1.03^4</f>
        <v>3.2696323363297353</v>
      </c>
      <c r="C35">
        <f>(0.06*(B35+B34+B33+B32+B31))/1.03^5</f>
        <v>1.8375661246729884</v>
      </c>
    </row>
    <row r="36" spans="1:11">
      <c r="B36">
        <f>SUM(B31:B35)</f>
        <v>35.504046135755281</v>
      </c>
      <c r="C36">
        <f>SUM(C31:C35)</f>
        <v>6.3447933982962992</v>
      </c>
    </row>
    <row r="38" spans="1:11">
      <c r="B38" t="s">
        <v>15</v>
      </c>
    </row>
    <row r="39" spans="1:11">
      <c r="B39" t="s">
        <v>16</v>
      </c>
      <c r="C39" s="2" t="s">
        <v>17</v>
      </c>
      <c r="D39" s="5" t="s">
        <v>26</v>
      </c>
      <c r="G39" s="2"/>
      <c r="K39" s="2"/>
    </row>
    <row r="40" spans="1:11">
      <c r="B40">
        <f>SUM(C23:C27)/1.03^5</f>
        <v>32.220163314317304</v>
      </c>
      <c r="C40">
        <f>0.333*SUM(C23:C27)/1.03^5</f>
        <v>10.729314383667662</v>
      </c>
      <c r="D40">
        <v>0</v>
      </c>
    </row>
    <row r="42" spans="1:11">
      <c r="A42" s="1" t="s">
        <v>18</v>
      </c>
      <c r="B42" t="s">
        <v>9</v>
      </c>
      <c r="C42" t="s">
        <v>30</v>
      </c>
      <c r="D42" s="5" t="s">
        <v>21</v>
      </c>
      <c r="E42" s="1"/>
      <c r="I42" s="1"/>
    </row>
    <row r="43" spans="1:11">
      <c r="A43" t="s">
        <v>19</v>
      </c>
      <c r="B43">
        <f>B36-C36-B40</f>
        <v>-3.0609105768583227</v>
      </c>
      <c r="C43">
        <f>B36-C36-C40</f>
        <v>18.429938353791322</v>
      </c>
      <c r="D43">
        <f>B36-C36</f>
        <v>29.159252737458981</v>
      </c>
    </row>
    <row r="44" spans="1:11">
      <c r="A44" t="s">
        <v>20</v>
      </c>
      <c r="B44" s="1">
        <f>B43+C10+E10</f>
        <v>8.5373267315876369</v>
      </c>
      <c r="C44" s="1">
        <f>C43+C10+E10</f>
        <v>30.028175662237281</v>
      </c>
      <c r="D44" s="1">
        <f>D43+C10+(-1)*E2-E8</f>
        <v>46.536968901278847</v>
      </c>
    </row>
  </sheetData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44"/>
  <sheetViews>
    <sheetView workbookViewId="0">
      <selection activeCell="C8" sqref="C8"/>
    </sheetView>
  </sheetViews>
  <sheetFormatPr baseColWidth="10" defaultRowHeight="15"/>
  <sheetData>
    <row r="1" spans="1:7">
      <c r="E1" t="s">
        <v>3</v>
      </c>
      <c r="F1" t="s">
        <v>2</v>
      </c>
    </row>
    <row r="2" spans="1:7">
      <c r="A2" s="1" t="s">
        <v>0</v>
      </c>
      <c r="D2" s="1" t="s">
        <v>1</v>
      </c>
      <c r="E2">
        <v>-6.7</v>
      </c>
      <c r="F2">
        <v>-6.7</v>
      </c>
    </row>
    <row r="3" spans="1:7">
      <c r="A3">
        <v>2011</v>
      </c>
      <c r="D3">
        <v>1</v>
      </c>
      <c r="E3">
        <f>0.06*6.7/1.03</f>
        <v>0.3902912621359223</v>
      </c>
      <c r="F3">
        <f>0.06*3.35/1.03</f>
        <v>0.19514563106796115</v>
      </c>
    </row>
    <row r="4" spans="1:7">
      <c r="A4">
        <v>2012</v>
      </c>
      <c r="D4">
        <v>2</v>
      </c>
      <c r="E4">
        <f>0.06*(6.7)/1.03^2</f>
        <v>0.37892355547176926</v>
      </c>
      <c r="F4">
        <f>0.06*(3.35)/1.03^2</f>
        <v>0.18946177773588463</v>
      </c>
    </row>
    <row r="5" spans="1:7">
      <c r="A5">
        <v>2013</v>
      </c>
      <c r="B5">
        <v>2.9</v>
      </c>
      <c r="C5">
        <f>B5/1.03^3</f>
        <v>2.6539108121241628</v>
      </c>
      <c r="D5">
        <v>3</v>
      </c>
      <c r="E5">
        <f>0.06*(6.7)/1.03^3</f>
        <v>0.3678869470599701</v>
      </c>
      <c r="F5">
        <f>0.06*(3.35)/1.03^3</f>
        <v>0.18394347352998505</v>
      </c>
    </row>
    <row r="6" spans="1:7">
      <c r="A6">
        <v>2014</v>
      </c>
      <c r="B6">
        <v>2.9</v>
      </c>
      <c r="C6">
        <f>B6/1.03^4</f>
        <v>2.5766124389554981</v>
      </c>
    </row>
    <row r="7" spans="1:7">
      <c r="A7">
        <v>2015</v>
      </c>
      <c r="B7">
        <v>2.9</v>
      </c>
      <c r="C7">
        <f>B7/1.03^5</f>
        <v>2.5015654747140759</v>
      </c>
    </row>
    <row r="8" spans="1:7">
      <c r="A8">
        <v>2016</v>
      </c>
      <c r="B8">
        <v>2.9</v>
      </c>
      <c r="C8">
        <f>B8/1.03^6</f>
        <v>2.4287043443825977</v>
      </c>
      <c r="E8">
        <f>SUM(E3:E7)</f>
        <v>1.1371017646676618</v>
      </c>
      <c r="F8">
        <f>SUM(F3:F7)</f>
        <v>0.56855088233383089</v>
      </c>
    </row>
    <row r="9" spans="1:7">
      <c r="A9">
        <v>2017</v>
      </c>
      <c r="B9">
        <v>2.9</v>
      </c>
      <c r="C9">
        <f>B9/1.03^7</f>
        <v>2.3579653828957259</v>
      </c>
      <c r="E9">
        <f>6.7/(1.03)^3</f>
        <v>6.1314491176661692</v>
      </c>
      <c r="F9">
        <f>3.35/1.03^3</f>
        <v>3.0657245588330846</v>
      </c>
    </row>
    <row r="10" spans="1:7">
      <c r="C10">
        <f>SUM(C5:C9)</f>
        <v>12.518758453072062</v>
      </c>
      <c r="E10">
        <f>(E2)*(-1)-E8-E9</f>
        <v>-0.568550882333831</v>
      </c>
      <c r="F10">
        <f>F2*(-1)-F8-F9</f>
        <v>3.0657245588330846</v>
      </c>
    </row>
    <row r="13" spans="1:7">
      <c r="A13" s="1" t="s">
        <v>4</v>
      </c>
      <c r="F13" s="1" t="s">
        <v>8</v>
      </c>
    </row>
    <row r="14" spans="1:7">
      <c r="B14" t="s">
        <v>5</v>
      </c>
      <c r="C14" t="s">
        <v>6</v>
      </c>
      <c r="D14" t="s">
        <v>7</v>
      </c>
      <c r="E14" t="s">
        <v>5</v>
      </c>
      <c r="F14" t="s">
        <v>6</v>
      </c>
      <c r="G14" t="s">
        <v>7</v>
      </c>
    </row>
    <row r="15" spans="1:7">
      <c r="A15">
        <v>2011</v>
      </c>
      <c r="B15">
        <v>49.512195121951223</v>
      </c>
      <c r="C15">
        <v>19</v>
      </c>
      <c r="D15">
        <v>20</v>
      </c>
      <c r="E15">
        <f>B15/2</f>
        <v>24.756097560975611</v>
      </c>
      <c r="F15">
        <f>C15</f>
        <v>19</v>
      </c>
      <c r="G15">
        <f>D15</f>
        <v>20</v>
      </c>
    </row>
    <row r="16" spans="1:7">
      <c r="A16">
        <v>2012</v>
      </c>
      <c r="B16">
        <v>61.065040650406502</v>
      </c>
      <c r="C16">
        <v>18</v>
      </c>
      <c r="D16">
        <v>10</v>
      </c>
      <c r="E16">
        <f>B16/2</f>
        <v>30.532520325203251</v>
      </c>
      <c r="F16">
        <f>C16*0.67</f>
        <v>12.06</v>
      </c>
      <c r="G16">
        <f>0.67*D16</f>
        <v>6.7</v>
      </c>
    </row>
    <row r="17" spans="1:11">
      <c r="A17">
        <v>2013</v>
      </c>
      <c r="B17">
        <v>34.658536585365852</v>
      </c>
      <c r="C17">
        <v>19</v>
      </c>
      <c r="D17">
        <v>11</v>
      </c>
      <c r="E17">
        <f>B17/2</f>
        <v>17.329268292682926</v>
      </c>
      <c r="F17">
        <f>C17*0.67</f>
        <v>12.73</v>
      </c>
      <c r="G17">
        <f>0.67*D17</f>
        <v>7.37</v>
      </c>
    </row>
    <row r="20" spans="1:11">
      <c r="A20" s="1" t="s">
        <v>29</v>
      </c>
      <c r="I20" s="1" t="s">
        <v>24</v>
      </c>
    </row>
    <row r="21" spans="1:11">
      <c r="B21" t="s">
        <v>5</v>
      </c>
      <c r="C21" t="s">
        <v>6</v>
      </c>
      <c r="D21" t="s">
        <v>7</v>
      </c>
      <c r="E21" t="s">
        <v>5</v>
      </c>
      <c r="F21" t="s">
        <v>6</v>
      </c>
      <c r="G21" t="s">
        <v>7</v>
      </c>
      <c r="I21" t="s">
        <v>5</v>
      </c>
      <c r="J21" t="s">
        <v>6</v>
      </c>
      <c r="K21" t="s">
        <v>7</v>
      </c>
    </row>
    <row r="22" spans="1:11">
      <c r="A22">
        <v>2011</v>
      </c>
      <c r="B22">
        <f t="shared" ref="B22:D24" si="0">B15*0.184</f>
        <v>9.1102439024390254</v>
      </c>
      <c r="C22">
        <f t="shared" si="0"/>
        <v>3.496</v>
      </c>
      <c r="D22">
        <f t="shared" si="0"/>
        <v>3.6799999999999997</v>
      </c>
      <c r="E22">
        <f>B22/2</f>
        <v>4.5551219512195127</v>
      </c>
      <c r="F22">
        <f>C22</f>
        <v>3.496</v>
      </c>
      <c r="G22">
        <f>D22</f>
        <v>3.6799999999999997</v>
      </c>
      <c r="I22">
        <f>B22-E22+B23-E23+B24-E24</f>
        <v>13.361691056910569</v>
      </c>
      <c r="J22">
        <f>C23-F23+C24-F24</f>
        <v>2.2466400000000002</v>
      </c>
      <c r="K22">
        <f>D23-G23+D24-G24</f>
        <v>1.2751199999999996</v>
      </c>
    </row>
    <row r="23" spans="1:11">
      <c r="A23">
        <v>2012</v>
      </c>
      <c r="B23">
        <f t="shared" si="0"/>
        <v>11.235967479674796</v>
      </c>
      <c r="C23">
        <f t="shared" si="0"/>
        <v>3.3119999999999998</v>
      </c>
      <c r="D23">
        <f t="shared" si="0"/>
        <v>1.8399999999999999</v>
      </c>
      <c r="E23">
        <f>B23/2</f>
        <v>5.6179837398373982</v>
      </c>
      <c r="F23">
        <f>0.67*C23</f>
        <v>2.2190400000000001</v>
      </c>
      <c r="G23">
        <f>0.67*D23</f>
        <v>1.2327999999999999</v>
      </c>
    </row>
    <row r="24" spans="1:11">
      <c r="A24">
        <v>2013</v>
      </c>
      <c r="B24">
        <f t="shared" si="0"/>
        <v>6.3771707317073165</v>
      </c>
      <c r="C24">
        <f t="shared" si="0"/>
        <v>3.496</v>
      </c>
      <c r="D24">
        <f t="shared" si="0"/>
        <v>2.024</v>
      </c>
      <c r="E24">
        <f>B24/2</f>
        <v>3.1885853658536583</v>
      </c>
      <c r="F24">
        <f>0.67*C24</f>
        <v>2.34232</v>
      </c>
      <c r="G24">
        <f>0.67*D24</f>
        <v>1.3560800000000002</v>
      </c>
    </row>
    <row r="27" spans="1:11">
      <c r="A27" s="1"/>
    </row>
    <row r="28" spans="1:11">
      <c r="A28" s="1"/>
      <c r="B28" t="s">
        <v>14</v>
      </c>
      <c r="C28" t="s">
        <v>13</v>
      </c>
      <c r="E28" s="1"/>
      <c r="F28" t="s">
        <v>14</v>
      </c>
      <c r="G28" t="s">
        <v>13</v>
      </c>
    </row>
    <row r="29" spans="1:11">
      <c r="A29">
        <v>2011</v>
      </c>
      <c r="B29">
        <f>E22</f>
        <v>4.5551219512195127</v>
      </c>
      <c r="C29">
        <f>0.06*B29/1.03</f>
        <v>0.26534690977977743</v>
      </c>
      <c r="E29">
        <v>2011</v>
      </c>
      <c r="F29">
        <f>E22</f>
        <v>4.5551219512195127</v>
      </c>
      <c r="G29">
        <f>0.06*F29/1.03</f>
        <v>0.26534690977977743</v>
      </c>
    </row>
    <row r="30" spans="1:11">
      <c r="A30">
        <v>2012</v>
      </c>
      <c r="B30">
        <f>E23/1.03</f>
        <v>5.4543531454732017</v>
      </c>
      <c r="C30">
        <f>(0.06*(B30+B29))/1.03^2</f>
        <v>0.56609341672312463</v>
      </c>
      <c r="E30">
        <v>2012</v>
      </c>
      <c r="F30">
        <f>(E23+F23+G23)/1.03</f>
        <v>8.8056541163469877</v>
      </c>
      <c r="G30">
        <f>(0.06*(F30+F29))/1.03^2</f>
        <v>0.75562877184842125</v>
      </c>
    </row>
    <row r="31" spans="1:11">
      <c r="A31">
        <v>2013</v>
      </c>
      <c r="B31">
        <f>E24/1.03^2</f>
        <v>3.0055475217774137</v>
      </c>
      <c r="C31">
        <f>(0.06*(B31+B30+B29))/1.03^3</f>
        <v>0.71463536373513936</v>
      </c>
      <c r="E31">
        <v>2013</v>
      </c>
      <c r="F31">
        <f>(E24+F24+G24)/1.03^2</f>
        <v>6.4916442321176913</v>
      </c>
      <c r="G31">
        <f>(0.06*(F31+F30+F29))/1.03^3</f>
        <v>1.0900666113137603</v>
      </c>
    </row>
    <row r="32" spans="1:11">
      <c r="B32">
        <f>SUM(B29:B31)</f>
        <v>13.015022618470129</v>
      </c>
      <c r="C32">
        <f>SUM(C29:C31)</f>
        <v>1.5460756902380415</v>
      </c>
      <c r="F32">
        <f>SUM(F29:F31)</f>
        <v>19.852420299684191</v>
      </c>
      <c r="G32">
        <f>SUM(G29:G31)</f>
        <v>2.111042292941959</v>
      </c>
    </row>
    <row r="34" spans="1:11">
      <c r="B34" t="s">
        <v>25</v>
      </c>
      <c r="C34" t="s">
        <v>22</v>
      </c>
      <c r="F34" t="s">
        <v>25</v>
      </c>
      <c r="G34" t="s">
        <v>22</v>
      </c>
      <c r="I34" s="1"/>
    </row>
    <row r="35" spans="1:11">
      <c r="B35">
        <f>SUM(E22:E24)/(1.03)^3</f>
        <v>12.227840125585411</v>
      </c>
      <c r="C35" s="3">
        <f>I22</f>
        <v>13.361691056910569</v>
      </c>
      <c r="F35">
        <f>SUM(E22+E23+F23+G23+E24+F24+G24)/1.03^3</f>
        <v>18.771322623958746</v>
      </c>
      <c r="G35" s="4">
        <f>I22+J22+K22</f>
        <v>16.88345105691057</v>
      </c>
    </row>
    <row r="37" spans="1:11">
      <c r="A37" s="1" t="s">
        <v>18</v>
      </c>
      <c r="B37" t="s">
        <v>23</v>
      </c>
      <c r="E37" s="8" t="s">
        <v>31</v>
      </c>
    </row>
    <row r="38" spans="1:11">
      <c r="A38" t="s">
        <v>19</v>
      </c>
      <c r="B38" s="3">
        <f>B32-C32-B35+C35</f>
        <v>12.602797859557246</v>
      </c>
      <c r="E38" t="s">
        <v>19</v>
      </c>
      <c r="F38" s="4">
        <f>F32-F35-G32+G35</f>
        <v>15.853506439694055</v>
      </c>
    </row>
    <row r="39" spans="1:11">
      <c r="A39" t="s">
        <v>20</v>
      </c>
      <c r="B39" s="7">
        <f>B38+C10+F10</f>
        <v>28.187280871462395</v>
      </c>
      <c r="E39" t="s">
        <v>20</v>
      </c>
      <c r="F39" s="6">
        <f>C10+F10+F38</f>
        <v>31.437989451599201</v>
      </c>
    </row>
    <row r="41" spans="1:11">
      <c r="C41" s="2"/>
      <c r="G41" s="2"/>
      <c r="K41" s="2"/>
    </row>
    <row r="44" spans="1:11">
      <c r="A44" s="1"/>
      <c r="E44" s="1"/>
      <c r="I44" s="1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workbookViewId="0">
      <selection activeCell="B1" sqref="B1"/>
    </sheetView>
  </sheetViews>
  <sheetFormatPr baseColWidth="10" defaultRowHeight="15"/>
  <sheetData>
    <row r="1" spans="1:8">
      <c r="E1" t="s">
        <v>3</v>
      </c>
      <c r="F1" t="s">
        <v>2</v>
      </c>
    </row>
    <row r="2" spans="1:8">
      <c r="A2" s="1" t="s">
        <v>0</v>
      </c>
      <c r="D2" s="1" t="s">
        <v>1</v>
      </c>
      <c r="E2">
        <v>-10.4</v>
      </c>
      <c r="F2">
        <v>-10.4</v>
      </c>
    </row>
    <row r="3" spans="1:8">
      <c r="A3">
        <v>2011</v>
      </c>
      <c r="D3">
        <v>2011</v>
      </c>
      <c r="E3">
        <f>0.06*10.4/1.03</f>
        <v>0.60582524271844662</v>
      </c>
      <c r="F3">
        <f>0.06*5.2/1.03</f>
        <v>0.30291262135922331</v>
      </c>
    </row>
    <row r="4" spans="1:8">
      <c r="A4">
        <v>2012</v>
      </c>
      <c r="D4">
        <v>2012</v>
      </c>
      <c r="E4">
        <f>0.06*(10.4)/1.03^2</f>
        <v>0.58817984729946271</v>
      </c>
      <c r="F4">
        <f>0.06*(5.2)/1.03^2</f>
        <v>0.29408992364973136</v>
      </c>
    </row>
    <row r="5" spans="1:8">
      <c r="A5">
        <v>2013</v>
      </c>
      <c r="B5">
        <v>4.4000000000000004</v>
      </c>
      <c r="C5">
        <f>B5/1.03^3</f>
        <v>4.0266233011539025</v>
      </c>
      <c r="D5">
        <v>2013</v>
      </c>
      <c r="E5">
        <f>0.06*(10.4)/1.03^3</f>
        <v>0.57104839543637154</v>
      </c>
      <c r="F5">
        <f>0.06*(5.2)/1.03^3</f>
        <v>0.28552419771818577</v>
      </c>
    </row>
    <row r="6" spans="1:8">
      <c r="A6">
        <v>2014</v>
      </c>
      <c r="B6">
        <v>4.4000000000000004</v>
      </c>
      <c r="C6">
        <f>B6/1.03^4</f>
        <v>3.9093430108290317</v>
      </c>
      <c r="D6">
        <v>2014</v>
      </c>
      <c r="E6">
        <f>0.06*(10.4)/1.03^4</f>
        <v>0.55441591789938993</v>
      </c>
      <c r="F6">
        <f>0.06*(5.2)/1.03^4</f>
        <v>0.27720795894969497</v>
      </c>
    </row>
    <row r="7" spans="1:8">
      <c r="A7">
        <v>2015</v>
      </c>
      <c r="B7">
        <v>4.4000000000000004</v>
      </c>
      <c r="C7">
        <f>B7/1.03^5</f>
        <v>3.7954786512903222</v>
      </c>
      <c r="D7">
        <v>2015</v>
      </c>
      <c r="E7">
        <f>0.06*(10.4)/1.03^5</f>
        <v>0.53826788145571836</v>
      </c>
      <c r="F7">
        <f>0.06*(5.2)/1.03^5</f>
        <v>0.26913394072785918</v>
      </c>
    </row>
    <row r="8" spans="1:8">
      <c r="A8">
        <v>2016</v>
      </c>
      <c r="B8">
        <v>4.4000000000000004</v>
      </c>
      <c r="C8">
        <f>B8/1.03^6</f>
        <v>3.6849307294080798</v>
      </c>
      <c r="E8">
        <f>SUM(E3:E7)</f>
        <v>2.8577372848093892</v>
      </c>
      <c r="F8">
        <f>SUM(F3:F7)</f>
        <v>1.4288686424046946</v>
      </c>
    </row>
    <row r="9" spans="1:8">
      <c r="A9">
        <v>2017</v>
      </c>
      <c r="B9">
        <v>4.4000000000000004</v>
      </c>
      <c r="C9">
        <f>B9/1.03^7</f>
        <v>3.5776026499107569</v>
      </c>
      <c r="E9">
        <f>10.4/(1.03)^5</f>
        <v>8.9711313575953078</v>
      </c>
      <c r="F9">
        <f>5.2/1.03^5</f>
        <v>4.4855656787976539</v>
      </c>
    </row>
    <row r="10" spans="1:8">
      <c r="C10">
        <f>SUM(C5:C9)</f>
        <v>18.993978342592094</v>
      </c>
      <c r="E10">
        <f>(E2)*(-1)-E8-E9</f>
        <v>-1.4288686424046961</v>
      </c>
      <c r="F10">
        <f>(F2)*(-1)-F8-F9</f>
        <v>4.4855656787976521</v>
      </c>
    </row>
    <row r="13" spans="1:8">
      <c r="A13" s="1" t="s">
        <v>4</v>
      </c>
      <c r="F13" s="1" t="s">
        <v>8</v>
      </c>
    </row>
    <row r="14" spans="1:8">
      <c r="B14" t="s">
        <v>5</v>
      </c>
      <c r="C14" t="s">
        <v>10</v>
      </c>
      <c r="D14" t="s">
        <v>6</v>
      </c>
      <c r="E14" t="s">
        <v>7</v>
      </c>
      <c r="F14" t="s">
        <v>5</v>
      </c>
      <c r="G14" t="s">
        <v>6</v>
      </c>
      <c r="H14" t="s">
        <v>7</v>
      </c>
    </row>
    <row r="15" spans="1:8">
      <c r="A15">
        <v>2011</v>
      </c>
      <c r="B15">
        <v>30</v>
      </c>
      <c r="C15">
        <f t="shared" ref="C15:C20" si="0">B15-5</f>
        <v>25</v>
      </c>
      <c r="D15">
        <v>19</v>
      </c>
      <c r="E15">
        <v>20</v>
      </c>
      <c r="F15">
        <f>B15/2</f>
        <v>15</v>
      </c>
      <c r="G15">
        <f>D15</f>
        <v>19</v>
      </c>
      <c r="H15">
        <f>E15</f>
        <v>20</v>
      </c>
    </row>
    <row r="16" spans="1:8">
      <c r="A16">
        <v>2012</v>
      </c>
      <c r="B16">
        <v>37</v>
      </c>
      <c r="C16">
        <f t="shared" si="0"/>
        <v>32</v>
      </c>
      <c r="D16">
        <v>18</v>
      </c>
      <c r="E16">
        <v>10</v>
      </c>
      <c r="F16">
        <f>B16/2</f>
        <v>18.5</v>
      </c>
      <c r="G16">
        <f t="shared" ref="G16:H18" si="1">D16/2</f>
        <v>9</v>
      </c>
      <c r="H16">
        <f t="shared" si="1"/>
        <v>5</v>
      </c>
    </row>
    <row r="17" spans="1:10">
      <c r="A17">
        <v>2013</v>
      </c>
      <c r="B17">
        <v>21</v>
      </c>
      <c r="C17">
        <f t="shared" si="0"/>
        <v>16</v>
      </c>
      <c r="D17">
        <v>19</v>
      </c>
      <c r="E17">
        <v>11</v>
      </c>
      <c r="F17">
        <f>B17/2</f>
        <v>10.5</v>
      </c>
      <c r="G17">
        <f t="shared" si="1"/>
        <v>9.5</v>
      </c>
      <c r="H17">
        <f t="shared" si="1"/>
        <v>5.5</v>
      </c>
    </row>
    <row r="18" spans="1:10">
      <c r="A18">
        <v>2014</v>
      </c>
      <c r="B18">
        <v>35</v>
      </c>
      <c r="C18">
        <f t="shared" si="0"/>
        <v>30</v>
      </c>
      <c r="D18">
        <v>19</v>
      </c>
      <c r="E18">
        <v>14</v>
      </c>
      <c r="F18">
        <f>B18/2</f>
        <v>17.5</v>
      </c>
      <c r="G18">
        <f t="shared" si="1"/>
        <v>9.5</v>
      </c>
      <c r="H18">
        <f t="shared" si="1"/>
        <v>7</v>
      </c>
    </row>
    <row r="19" spans="1:10">
      <c r="A19">
        <v>2015</v>
      </c>
      <c r="B19">
        <v>25</v>
      </c>
      <c r="C19">
        <f t="shared" si="0"/>
        <v>20</v>
      </c>
      <c r="D19">
        <v>19</v>
      </c>
      <c r="E19">
        <v>14</v>
      </c>
      <c r="F19">
        <f>B19</f>
        <v>25</v>
      </c>
      <c r="G19">
        <f>D19</f>
        <v>19</v>
      </c>
      <c r="H19">
        <f>E19</f>
        <v>14</v>
      </c>
    </row>
    <row r="20" spans="1:10">
      <c r="A20">
        <v>2016</v>
      </c>
      <c r="B20">
        <v>20</v>
      </c>
      <c r="C20">
        <f t="shared" si="0"/>
        <v>15</v>
      </c>
      <c r="D20">
        <v>19</v>
      </c>
      <c r="E20">
        <v>14</v>
      </c>
      <c r="F20">
        <f>B20</f>
        <v>20</v>
      </c>
      <c r="G20">
        <f>D20</f>
        <v>19</v>
      </c>
      <c r="H20">
        <f>E20</f>
        <v>14</v>
      </c>
    </row>
    <row r="22" spans="1:10">
      <c r="A22" s="1" t="s">
        <v>11</v>
      </c>
      <c r="J22" s="1"/>
    </row>
    <row r="23" spans="1:10">
      <c r="B23" t="s">
        <v>5</v>
      </c>
      <c r="C23" t="s">
        <v>10</v>
      </c>
      <c r="D23" t="s">
        <v>6</v>
      </c>
      <c r="E23" t="s">
        <v>7</v>
      </c>
      <c r="F23" t="s">
        <v>5</v>
      </c>
      <c r="G23" t="s">
        <v>6</v>
      </c>
      <c r="H23" t="s">
        <v>7</v>
      </c>
    </row>
    <row r="24" spans="1:10">
      <c r="A24">
        <v>2011</v>
      </c>
      <c r="B24">
        <f t="shared" ref="B24:B29" si="2">B15*0.279</f>
        <v>8.370000000000001</v>
      </c>
      <c r="C24">
        <f t="shared" ref="C24:C29" si="3">B24-5*0.279</f>
        <v>6.9750000000000014</v>
      </c>
      <c r="D24">
        <f>D15*0.279</f>
        <v>5.3010000000000002</v>
      </c>
      <c r="E24">
        <f>E15*0.279</f>
        <v>5.58</v>
      </c>
      <c r="F24">
        <f>B24/2</f>
        <v>4.1850000000000005</v>
      </c>
      <c r="G24">
        <f>D24</f>
        <v>5.3010000000000002</v>
      </c>
      <c r="H24">
        <f>E24</f>
        <v>5.58</v>
      </c>
    </row>
    <row r="25" spans="1:10">
      <c r="A25">
        <v>2012</v>
      </c>
      <c r="B25">
        <f t="shared" si="2"/>
        <v>10.323</v>
      </c>
      <c r="C25">
        <f t="shared" si="3"/>
        <v>8.9280000000000008</v>
      </c>
      <c r="D25">
        <f t="shared" ref="D25:E29" si="4">D16*0.279</f>
        <v>5.0220000000000002</v>
      </c>
      <c r="E25">
        <f t="shared" si="4"/>
        <v>2.79</v>
      </c>
      <c r="F25">
        <f>B25/2</f>
        <v>5.1615000000000002</v>
      </c>
      <c r="G25">
        <f t="shared" ref="G25:H29" si="5">0.67*D25</f>
        <v>3.3647400000000003</v>
      </c>
      <c r="H25">
        <f t="shared" si="5"/>
        <v>1.8693000000000002</v>
      </c>
    </row>
    <row r="26" spans="1:10">
      <c r="A26">
        <v>2013</v>
      </c>
      <c r="B26">
        <f t="shared" si="2"/>
        <v>5.8590000000000009</v>
      </c>
      <c r="C26">
        <f t="shared" si="3"/>
        <v>4.4640000000000004</v>
      </c>
      <c r="D26">
        <f t="shared" si="4"/>
        <v>5.3010000000000002</v>
      </c>
      <c r="E26">
        <f t="shared" si="4"/>
        <v>3.0690000000000004</v>
      </c>
      <c r="F26">
        <f>B26/2</f>
        <v>2.9295000000000004</v>
      </c>
      <c r="G26">
        <f t="shared" si="5"/>
        <v>3.5516700000000001</v>
      </c>
      <c r="H26">
        <f t="shared" si="5"/>
        <v>2.0562300000000002</v>
      </c>
    </row>
    <row r="27" spans="1:10">
      <c r="A27">
        <v>2014</v>
      </c>
      <c r="B27">
        <f t="shared" si="2"/>
        <v>9.7650000000000006</v>
      </c>
      <c r="C27">
        <f t="shared" si="3"/>
        <v>8.370000000000001</v>
      </c>
      <c r="D27">
        <f t="shared" si="4"/>
        <v>5.3010000000000002</v>
      </c>
      <c r="E27">
        <f t="shared" si="4"/>
        <v>3.9060000000000006</v>
      </c>
      <c r="F27">
        <f>B27/2</f>
        <v>4.8825000000000003</v>
      </c>
      <c r="G27">
        <f t="shared" si="5"/>
        <v>3.5516700000000001</v>
      </c>
      <c r="H27">
        <f t="shared" si="5"/>
        <v>2.6170200000000006</v>
      </c>
    </row>
    <row r="28" spans="1:10">
      <c r="A28">
        <v>2015</v>
      </c>
      <c r="B28">
        <f t="shared" si="2"/>
        <v>6.9750000000000005</v>
      </c>
      <c r="C28">
        <f t="shared" si="3"/>
        <v>5.58</v>
      </c>
      <c r="D28">
        <f t="shared" si="4"/>
        <v>5.3010000000000002</v>
      </c>
      <c r="E28">
        <f t="shared" si="4"/>
        <v>3.9060000000000006</v>
      </c>
      <c r="F28">
        <f>B28</f>
        <v>6.9750000000000005</v>
      </c>
      <c r="G28">
        <f t="shared" si="5"/>
        <v>3.5516700000000001</v>
      </c>
      <c r="H28">
        <f t="shared" si="5"/>
        <v>2.6170200000000006</v>
      </c>
    </row>
    <row r="29" spans="1:10">
      <c r="A29">
        <v>2016</v>
      </c>
      <c r="B29">
        <f t="shared" si="2"/>
        <v>5.58</v>
      </c>
      <c r="C29">
        <f t="shared" si="3"/>
        <v>4.1850000000000005</v>
      </c>
      <c r="D29">
        <f t="shared" si="4"/>
        <v>5.3010000000000002</v>
      </c>
      <c r="E29">
        <f t="shared" si="4"/>
        <v>3.9060000000000006</v>
      </c>
      <c r="F29">
        <f>B29</f>
        <v>5.58</v>
      </c>
      <c r="G29">
        <f t="shared" si="5"/>
        <v>3.5516700000000001</v>
      </c>
      <c r="H29">
        <f t="shared" si="5"/>
        <v>2.6170200000000006</v>
      </c>
    </row>
    <row r="31" spans="1:10">
      <c r="A31" s="1" t="s">
        <v>12</v>
      </c>
    </row>
    <row r="32" spans="1:10">
      <c r="A32" s="1"/>
      <c r="B32" t="s">
        <v>14</v>
      </c>
      <c r="C32" t="s">
        <v>13</v>
      </c>
      <c r="E32" s="1"/>
      <c r="I32" s="1"/>
    </row>
    <row r="33" spans="1:11">
      <c r="A33">
        <v>2011</v>
      </c>
      <c r="B33">
        <f>C24</f>
        <v>6.9750000000000014</v>
      </c>
      <c r="C33">
        <f>0.06*B33/1.03</f>
        <v>0.40631067961165057</v>
      </c>
    </row>
    <row r="34" spans="1:11">
      <c r="A34">
        <v>2012</v>
      </c>
      <c r="B34">
        <f>C25/1.03</f>
        <v>8.6679611650485437</v>
      </c>
      <c r="C34">
        <f>(0.06*(B34+B33))/1.03^2</f>
        <v>0.88469947205477684</v>
      </c>
    </row>
    <row r="35" spans="1:11">
      <c r="A35">
        <v>2013</v>
      </c>
      <c r="B35">
        <f>C26/1.03^2</f>
        <v>4.2077481383730797</v>
      </c>
      <c r="C35">
        <f>(0.06*(B35+B34+B33))/1.03^3</f>
        <v>1.0899726630762281</v>
      </c>
    </row>
    <row r="36" spans="1:11">
      <c r="A36">
        <v>2014</v>
      </c>
      <c r="B36">
        <f>C27/1.03^3</f>
        <v>7.6597356887859469</v>
      </c>
      <c r="C36">
        <f>(0.06*(B36+B35+B34+B33))/1.03^4</f>
        <v>1.4665604434784072</v>
      </c>
    </row>
    <row r="37" spans="1:11">
      <c r="A37">
        <v>2015</v>
      </c>
      <c r="B37">
        <f>C28/1.03^4</f>
        <v>4.9577577273695441</v>
      </c>
      <c r="C37">
        <f>(0.06*(B37+B36+B35+B34+B33))/1.03^5</f>
        <v>1.6804414127443816</v>
      </c>
    </row>
    <row r="38" spans="1:11">
      <c r="B38">
        <f>SUM(B33:B37)</f>
        <v>32.468202719577114</v>
      </c>
      <c r="C38">
        <f>SUM(C33:C37)</f>
        <v>5.5279846709654441</v>
      </c>
    </row>
    <row r="40" spans="1:11">
      <c r="B40" t="s">
        <v>15</v>
      </c>
    </row>
    <row r="41" spans="1:11">
      <c r="B41" t="s">
        <v>16</v>
      </c>
      <c r="C41" s="2" t="s">
        <v>17</v>
      </c>
      <c r="D41" s="5" t="s">
        <v>26</v>
      </c>
      <c r="G41" s="2"/>
      <c r="K41" s="2"/>
    </row>
    <row r="42" spans="1:11">
      <c r="B42">
        <f>SUM(C24:C28)/1.03^5</f>
        <v>29.602145653711364</v>
      </c>
      <c r="C42">
        <f>0.333*SUM(C24:C28)/1.03^5</f>
        <v>9.8575145026858841</v>
      </c>
      <c r="D42">
        <v>0</v>
      </c>
    </row>
    <row r="44" spans="1:11">
      <c r="A44" s="1" t="s">
        <v>18</v>
      </c>
      <c r="B44" t="s">
        <v>9</v>
      </c>
      <c r="C44" t="s">
        <v>30</v>
      </c>
      <c r="D44" t="s">
        <v>21</v>
      </c>
      <c r="E44" s="1"/>
      <c r="I44" s="1"/>
    </row>
    <row r="45" spans="1:11">
      <c r="A45" t="s">
        <v>19</v>
      </c>
      <c r="B45">
        <f>B38-C38-B42</f>
        <v>-2.6619276050996952</v>
      </c>
      <c r="C45">
        <f>B38-C38-C42</f>
        <v>17.082703545925785</v>
      </c>
      <c r="D45">
        <f>B38-C38</f>
        <v>26.940218048611669</v>
      </c>
    </row>
    <row r="46" spans="1:11">
      <c r="A46" t="s">
        <v>20</v>
      </c>
      <c r="B46" s="1">
        <f>B45+C10+E10</f>
        <v>14.903182095087702</v>
      </c>
      <c r="C46" s="1">
        <f>C45+C10+E10</f>
        <v>34.647813246113188</v>
      </c>
      <c r="D46" s="1">
        <f>D45+C10+(-1)*E2-E8</f>
        <v>53.476459106394373</v>
      </c>
    </row>
  </sheetData>
  <pageMargins left="0.7" right="0.7" top="0.78740157499999996" bottom="0.78740157499999996" header="0.3" footer="0.3"/>
  <pageSetup paperSize="9" orientation="portrait" horizontalDpi="300" verticalDpi="300" r:id="rId1"/>
  <ignoredErrors>
    <ignoredError sqref="C24:C2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topLeftCell="A15" workbookViewId="0">
      <selection activeCell="D33" sqref="D33"/>
    </sheetView>
  </sheetViews>
  <sheetFormatPr baseColWidth="10" defaultRowHeight="15"/>
  <sheetData>
    <row r="1" spans="1:7">
      <c r="E1" t="s">
        <v>3</v>
      </c>
      <c r="F1" t="s">
        <v>2</v>
      </c>
    </row>
    <row r="2" spans="1:7">
      <c r="A2" s="1" t="s">
        <v>0</v>
      </c>
      <c r="D2" s="1" t="s">
        <v>1</v>
      </c>
      <c r="E2">
        <v>-10.4</v>
      </c>
      <c r="F2">
        <v>-10.4</v>
      </c>
    </row>
    <row r="3" spans="1:7">
      <c r="A3">
        <v>2011</v>
      </c>
      <c r="D3">
        <v>2011</v>
      </c>
      <c r="E3">
        <f>0.06*10.4/1.03</f>
        <v>0.60582524271844662</v>
      </c>
      <c r="F3">
        <f>0.06*5.2/1.03</f>
        <v>0.30291262135922331</v>
      </c>
    </row>
    <row r="4" spans="1:7">
      <c r="A4">
        <v>2012</v>
      </c>
      <c r="D4">
        <v>2012</v>
      </c>
      <c r="E4">
        <f>0.06*(10.4)/1.03^2</f>
        <v>0.58817984729946271</v>
      </c>
      <c r="F4">
        <f>0.06*(5.2)/1.03^2</f>
        <v>0.29408992364973136</v>
      </c>
    </row>
    <row r="5" spans="1:7">
      <c r="A5">
        <v>2013</v>
      </c>
      <c r="B5">
        <v>4.4000000000000004</v>
      </c>
      <c r="C5">
        <f>B5/1.03^3</f>
        <v>4.0266233011539025</v>
      </c>
      <c r="D5">
        <v>2013</v>
      </c>
      <c r="E5">
        <f>0.06*(10.4)/1.03^3</f>
        <v>0.57104839543637154</v>
      </c>
      <c r="F5">
        <f>0.06*(5.2)/1.03^3</f>
        <v>0.28552419771818577</v>
      </c>
    </row>
    <row r="6" spans="1:7">
      <c r="A6">
        <v>2014</v>
      </c>
      <c r="B6">
        <v>4.4000000000000004</v>
      </c>
      <c r="C6">
        <f>B6/1.03^4</f>
        <v>3.9093430108290317</v>
      </c>
    </row>
    <row r="7" spans="1:7">
      <c r="A7">
        <v>2015</v>
      </c>
      <c r="B7">
        <v>4.4000000000000004</v>
      </c>
      <c r="C7">
        <f>B7/1.03^5</f>
        <v>3.7954786512903222</v>
      </c>
    </row>
    <row r="8" spans="1:7">
      <c r="A8">
        <v>2016</v>
      </c>
      <c r="B8">
        <v>4.4000000000000004</v>
      </c>
      <c r="C8">
        <f>B8/1.03^6</f>
        <v>3.6849307294080798</v>
      </c>
      <c r="E8">
        <f>SUM(E3:E7)</f>
        <v>1.7650534854542808</v>
      </c>
      <c r="F8">
        <f>SUM(F3:F7)</f>
        <v>0.88252674272714038</v>
      </c>
    </row>
    <row r="9" spans="1:7">
      <c r="A9">
        <v>2017</v>
      </c>
      <c r="B9">
        <v>4.4000000000000004</v>
      </c>
      <c r="C9">
        <f>B9/1.03^7</f>
        <v>3.5776026499107569</v>
      </c>
      <c r="E9">
        <f>10.4/(1.03)^3</f>
        <v>9.5174732572728598</v>
      </c>
      <c r="F9">
        <f>5.2/1.03^3</f>
        <v>4.7587366286364299</v>
      </c>
    </row>
    <row r="10" spans="1:7">
      <c r="C10">
        <f>SUM(C5:C9)</f>
        <v>18.993978342592094</v>
      </c>
      <c r="E10">
        <f>(E2)*(-1)-E8-E9</f>
        <v>-0.8825267427271406</v>
      </c>
      <c r="F10">
        <f>F2*(-1)-F8-F9</f>
        <v>4.7587366286364299</v>
      </c>
    </row>
    <row r="13" spans="1:7">
      <c r="A13" s="1" t="s">
        <v>4</v>
      </c>
      <c r="F13" s="1" t="s">
        <v>8</v>
      </c>
    </row>
    <row r="14" spans="1:7">
      <c r="B14" t="s">
        <v>5</v>
      </c>
      <c r="C14" t="s">
        <v>6</v>
      </c>
      <c r="D14" t="s">
        <v>7</v>
      </c>
      <c r="E14" t="s">
        <v>5</v>
      </c>
      <c r="F14" t="s">
        <v>6</v>
      </c>
      <c r="G14" t="s">
        <v>7</v>
      </c>
    </row>
    <row r="15" spans="1:7">
      <c r="A15">
        <v>2011</v>
      </c>
      <c r="B15">
        <v>30</v>
      </c>
      <c r="C15">
        <v>19</v>
      </c>
      <c r="D15">
        <v>20</v>
      </c>
      <c r="E15">
        <f>B15/2</f>
        <v>15</v>
      </c>
      <c r="F15">
        <f>C15</f>
        <v>19</v>
      </c>
      <c r="G15">
        <f>D15</f>
        <v>20</v>
      </c>
    </row>
    <row r="16" spans="1:7">
      <c r="A16">
        <v>2012</v>
      </c>
      <c r="B16">
        <v>37</v>
      </c>
      <c r="C16">
        <v>18</v>
      </c>
      <c r="D16">
        <v>10</v>
      </c>
      <c r="E16">
        <f>B16/2</f>
        <v>18.5</v>
      </c>
      <c r="F16">
        <f>C16*0.67</f>
        <v>12.06</v>
      </c>
      <c r="G16">
        <f>0.67*D16</f>
        <v>6.7</v>
      </c>
    </row>
    <row r="17" spans="1:11">
      <c r="A17">
        <v>2013</v>
      </c>
      <c r="B17">
        <v>21</v>
      </c>
      <c r="C17">
        <v>19</v>
      </c>
      <c r="D17">
        <v>11</v>
      </c>
      <c r="E17">
        <f>B17/2</f>
        <v>10.5</v>
      </c>
      <c r="F17">
        <f>C17*0.67</f>
        <v>12.73</v>
      </c>
      <c r="G17">
        <f>0.67*D17</f>
        <v>7.37</v>
      </c>
    </row>
    <row r="20" spans="1:11">
      <c r="A20" s="1" t="s">
        <v>11</v>
      </c>
      <c r="I20" s="1" t="s">
        <v>24</v>
      </c>
    </row>
    <row r="21" spans="1:11">
      <c r="B21" t="s">
        <v>5</v>
      </c>
      <c r="C21" t="s">
        <v>6</v>
      </c>
      <c r="D21" t="s">
        <v>7</v>
      </c>
      <c r="E21" t="s">
        <v>5</v>
      </c>
      <c r="F21" t="s">
        <v>6</v>
      </c>
      <c r="G21" t="s">
        <v>7</v>
      </c>
      <c r="I21" t="s">
        <v>5</v>
      </c>
      <c r="J21" t="s">
        <v>6</v>
      </c>
      <c r="K21" t="s">
        <v>7</v>
      </c>
    </row>
    <row r="22" spans="1:11">
      <c r="A22">
        <v>2011</v>
      </c>
      <c r="B22">
        <f t="shared" ref="B22:D24" si="0">B15*0.279</f>
        <v>8.370000000000001</v>
      </c>
      <c r="C22">
        <f t="shared" si="0"/>
        <v>5.3010000000000002</v>
      </c>
      <c r="D22">
        <f t="shared" si="0"/>
        <v>5.58</v>
      </c>
      <c r="E22">
        <f>B22/2</f>
        <v>4.1850000000000005</v>
      </c>
      <c r="F22">
        <f>C22</f>
        <v>5.3010000000000002</v>
      </c>
      <c r="G22">
        <f>D22</f>
        <v>5.58</v>
      </c>
      <c r="I22">
        <f>B22-E22+B23-E23+B24-E24</f>
        <v>12.276</v>
      </c>
      <c r="J22">
        <f>C23-F23+C24-F24</f>
        <v>3.40659</v>
      </c>
      <c r="K22">
        <f>D23-G23+D24-G24</f>
        <v>1.9334699999999998</v>
      </c>
    </row>
    <row r="23" spans="1:11">
      <c r="A23">
        <v>2012</v>
      </c>
      <c r="B23">
        <f t="shared" si="0"/>
        <v>10.323</v>
      </c>
      <c r="C23">
        <f t="shared" si="0"/>
        <v>5.0220000000000002</v>
      </c>
      <c r="D23">
        <f t="shared" si="0"/>
        <v>2.79</v>
      </c>
      <c r="E23">
        <f>B23/2</f>
        <v>5.1615000000000002</v>
      </c>
      <c r="F23">
        <f>0.67*C23</f>
        <v>3.3647400000000003</v>
      </c>
      <c r="G23">
        <f>0.67*D23</f>
        <v>1.8693000000000002</v>
      </c>
    </row>
    <row r="24" spans="1:11">
      <c r="A24">
        <v>2013</v>
      </c>
      <c r="B24">
        <f t="shared" si="0"/>
        <v>5.8590000000000009</v>
      </c>
      <c r="C24">
        <f t="shared" si="0"/>
        <v>5.3010000000000002</v>
      </c>
      <c r="D24">
        <f t="shared" si="0"/>
        <v>3.0690000000000004</v>
      </c>
      <c r="E24">
        <f>B24/2</f>
        <v>2.9295000000000004</v>
      </c>
      <c r="F24">
        <f>0.67*C24</f>
        <v>3.5516700000000001</v>
      </c>
      <c r="G24">
        <f>0.67*D24</f>
        <v>2.0562300000000002</v>
      </c>
    </row>
    <row r="27" spans="1:11">
      <c r="A27" s="1" t="s">
        <v>12</v>
      </c>
    </row>
    <row r="28" spans="1:11">
      <c r="A28" s="1"/>
      <c r="B28" t="s">
        <v>14</v>
      </c>
      <c r="C28" t="s">
        <v>13</v>
      </c>
      <c r="E28" s="1"/>
      <c r="F28" t="s">
        <v>14</v>
      </c>
      <c r="G28" t="s">
        <v>13</v>
      </c>
    </row>
    <row r="29" spans="1:11">
      <c r="A29">
        <v>2011</v>
      </c>
      <c r="B29">
        <f>E22</f>
        <v>4.1850000000000005</v>
      </c>
      <c r="C29">
        <f>0.06*B29/1.03</f>
        <v>0.24378640776699034</v>
      </c>
      <c r="E29">
        <v>2011</v>
      </c>
      <c r="F29">
        <f>E22</f>
        <v>4.1850000000000005</v>
      </c>
      <c r="G29">
        <f>0.06*F29/1.03</f>
        <v>0.24378640776699034</v>
      </c>
    </row>
    <row r="30" spans="1:11">
      <c r="A30">
        <v>2012</v>
      </c>
      <c r="B30">
        <f>E23/1.03</f>
        <v>5.0111650485436892</v>
      </c>
      <c r="C30">
        <f>(0.06*(B30+B29))/1.03^2</f>
        <v>0.52009605326856578</v>
      </c>
      <c r="E30">
        <v>2012</v>
      </c>
      <c r="F30">
        <f>(E23+F23+G23)/1.03</f>
        <v>10.0927572815534</v>
      </c>
      <c r="G30">
        <f>(0.06*(F30+F29))/1.03^2</f>
        <v>0.80748933631181452</v>
      </c>
    </row>
    <row r="31" spans="1:11">
      <c r="A31">
        <v>2013</v>
      </c>
      <c r="B31">
        <f>E24/1.03^2</f>
        <v>2.761334715807334</v>
      </c>
      <c r="C31">
        <f>(0.06*(B31+B30+B29))/1.03^3</f>
        <v>0.65656837056379258</v>
      </c>
      <c r="E31">
        <v>2013</v>
      </c>
      <c r="F31">
        <f>(E24+F24+G24)/1.03^2</f>
        <v>8.0473183146385168</v>
      </c>
      <c r="G31">
        <f>(0.06*(F31+F30+F29))/1.03^3</f>
        <v>1.2258364035770279</v>
      </c>
    </row>
    <row r="32" spans="1:11">
      <c r="B32">
        <f>SUM(B29:B31)</f>
        <v>11.957499764351024</v>
      </c>
      <c r="C32">
        <f>SUM(C29:C31)</f>
        <v>1.4204508315993487</v>
      </c>
      <c r="F32">
        <f>SUM(F29:F31)</f>
        <v>22.325075596191915</v>
      </c>
      <c r="G32">
        <f>SUM(G29:G31)</f>
        <v>2.2771121476558327</v>
      </c>
    </row>
    <row r="34" spans="1:9">
      <c r="B34" t="s">
        <v>25</v>
      </c>
      <c r="C34" t="s">
        <v>22</v>
      </c>
      <c r="F34" t="s">
        <v>25</v>
      </c>
      <c r="G34" t="s">
        <v>22</v>
      </c>
      <c r="I34" s="1"/>
    </row>
    <row r="35" spans="1:9">
      <c r="B35">
        <f>SUM(E22:E24)/(1.03)^3</f>
        <v>11.234279010219389</v>
      </c>
      <c r="C35" s="3">
        <f>I22</f>
        <v>12.276</v>
      </c>
      <c r="F35">
        <f>(E22+E23+F23+G23+E24+F24+G24)/1.03^3</f>
        <v>21.156189972426784</v>
      </c>
      <c r="G35" s="4">
        <f>I22+J22+K22</f>
        <v>17.616059999999997</v>
      </c>
    </row>
    <row r="37" spans="1:9">
      <c r="A37" s="1" t="s">
        <v>23</v>
      </c>
      <c r="E37" s="1" t="s">
        <v>31</v>
      </c>
    </row>
    <row r="38" spans="1:9">
      <c r="A38" t="s">
        <v>19</v>
      </c>
      <c r="B38" s="3">
        <f>B32-C32-B35+C35</f>
        <v>11.578769922532286</v>
      </c>
      <c r="E38" t="s">
        <v>19</v>
      </c>
      <c r="F38" s="4">
        <f>F32-F35-G32+G35</f>
        <v>16.507833476109298</v>
      </c>
    </row>
    <row r="39" spans="1:9">
      <c r="A39" t="s">
        <v>20</v>
      </c>
      <c r="B39" s="7">
        <f>B38+C10+F10</f>
        <v>35.331484893760809</v>
      </c>
      <c r="E39" t="s">
        <v>20</v>
      </c>
      <c r="F39" s="6">
        <f>C10+F10+F38</f>
        <v>40.260548447337825</v>
      </c>
    </row>
  </sheetData>
  <pageMargins left="0.7" right="0.7" top="0.78740157499999996" bottom="0.78740157499999996" header="0.3" footer="0.3"/>
  <pageSetup paperSize="9" orientation="portrait" horizontalDpi="300" verticalDpi="300" r:id="rId1"/>
  <ignoredErrors>
    <ignoredError sqref="F1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46"/>
  <sheetViews>
    <sheetView topLeftCell="A24" workbookViewId="0">
      <selection activeCell="E36" sqref="E36"/>
    </sheetView>
  </sheetViews>
  <sheetFormatPr baseColWidth="10" defaultRowHeight="15"/>
  <sheetData>
    <row r="1" spans="1:8">
      <c r="E1" t="s">
        <v>3</v>
      </c>
      <c r="F1" t="s">
        <v>2</v>
      </c>
    </row>
    <row r="2" spans="1:8">
      <c r="A2" s="1" t="s">
        <v>0</v>
      </c>
      <c r="D2" s="1" t="s">
        <v>1</v>
      </c>
      <c r="E2">
        <v>-7.8</v>
      </c>
      <c r="F2">
        <v>-7.8</v>
      </c>
    </row>
    <row r="3" spans="1:8">
      <c r="A3">
        <v>2011</v>
      </c>
      <c r="D3">
        <v>2011</v>
      </c>
      <c r="E3">
        <f>0.06*7.8/1.03</f>
        <v>0.45436893203883494</v>
      </c>
      <c r="F3">
        <f>0.06*3.9/1.03</f>
        <v>0.22718446601941747</v>
      </c>
    </row>
    <row r="4" spans="1:8">
      <c r="A4">
        <v>2012</v>
      </c>
      <c r="D4">
        <v>2012</v>
      </c>
      <c r="E4">
        <f>0.06*(7.8)/1.03^2</f>
        <v>0.441134885474597</v>
      </c>
      <c r="F4">
        <f>0.06*(3.9)/1.03^2</f>
        <v>0.2205674427372985</v>
      </c>
    </row>
    <row r="5" spans="1:8">
      <c r="A5">
        <v>2013</v>
      </c>
      <c r="B5">
        <v>3.25</v>
      </c>
      <c r="C5">
        <f>B5/1.03^3</f>
        <v>2.9742103928977688</v>
      </c>
      <c r="D5">
        <v>2013</v>
      </c>
      <c r="E5">
        <f>0.06*(7.8)/1.03^3</f>
        <v>0.42828629657727868</v>
      </c>
      <c r="F5">
        <f>0.06*(3.9)/1.03^3</f>
        <v>0.21414314828863934</v>
      </c>
    </row>
    <row r="6" spans="1:8">
      <c r="A6">
        <v>2014</v>
      </c>
      <c r="B6">
        <v>3.25</v>
      </c>
      <c r="C6">
        <f>B6/1.03^4</f>
        <v>2.887582905725989</v>
      </c>
      <c r="D6">
        <v>2014</v>
      </c>
      <c r="E6">
        <f>0.06*(7.8)/1.03^4</f>
        <v>0.41581193842454239</v>
      </c>
      <c r="F6">
        <f>0.06*(3.9)/1.03^4</f>
        <v>0.2079059692122712</v>
      </c>
    </row>
    <row r="7" spans="1:8">
      <c r="A7">
        <v>2015</v>
      </c>
      <c r="B7">
        <v>3.25</v>
      </c>
      <c r="C7">
        <f>B7/1.03^5</f>
        <v>2.8034785492485335</v>
      </c>
      <c r="D7">
        <v>2015</v>
      </c>
      <c r="E7">
        <f>0.06*(7.8)/1.03^5</f>
        <v>0.40370091109178879</v>
      </c>
      <c r="F7">
        <f>0.06*(3.9)/1.03^5</f>
        <v>0.2018504555458944</v>
      </c>
    </row>
    <row r="8" spans="1:8">
      <c r="A8">
        <v>2016</v>
      </c>
      <c r="B8">
        <v>3.25</v>
      </c>
      <c r="C8">
        <f>B8/1.03^6</f>
        <v>2.721823834221877</v>
      </c>
      <c r="E8">
        <f>SUM(E3:E7)</f>
        <v>2.143302963607042</v>
      </c>
      <c r="F8">
        <f>SUM(F3:F7)</f>
        <v>1.071651481803521</v>
      </c>
    </row>
    <row r="9" spans="1:8">
      <c r="A9">
        <v>2017</v>
      </c>
      <c r="B9">
        <v>3.25</v>
      </c>
      <c r="C9">
        <f>B9/1.03^7</f>
        <v>2.6425474118658996</v>
      </c>
      <c r="E9">
        <f>7.8/(1.03)^5</f>
        <v>6.7283485181964799</v>
      </c>
      <c r="F9">
        <f>3.9/1.03^5</f>
        <v>3.36417425909824</v>
      </c>
    </row>
    <row r="10" spans="1:8">
      <c r="C10">
        <f>SUM(C5:C9)</f>
        <v>14.029643093960066</v>
      </c>
      <c r="E10">
        <f>(E2)*(-1)-E8-E9</f>
        <v>-1.0716514818035225</v>
      </c>
      <c r="F10">
        <f>F2*(-1)-F8-F9</f>
        <v>3.3641742590982391</v>
      </c>
    </row>
    <row r="13" spans="1:8">
      <c r="A13" s="1" t="s">
        <v>4</v>
      </c>
      <c r="F13" s="1" t="s">
        <v>8</v>
      </c>
    </row>
    <row r="14" spans="1:8">
      <c r="B14" t="s">
        <v>5</v>
      </c>
      <c r="C14" t="s">
        <v>10</v>
      </c>
      <c r="D14" t="s">
        <v>6</v>
      </c>
      <c r="E14" t="s">
        <v>7</v>
      </c>
      <c r="F14" t="s">
        <v>5</v>
      </c>
      <c r="G14" t="s">
        <v>6</v>
      </c>
      <c r="H14" t="s">
        <v>7</v>
      </c>
    </row>
    <row r="15" spans="1:8">
      <c r="A15">
        <v>2011</v>
      </c>
      <c r="B15">
        <v>30</v>
      </c>
      <c r="C15">
        <f t="shared" ref="C15:C20" si="0">B15-5</f>
        <v>25</v>
      </c>
      <c r="D15">
        <v>19</v>
      </c>
      <c r="E15">
        <v>20</v>
      </c>
      <c r="F15">
        <f>B15/2</f>
        <v>15</v>
      </c>
      <c r="G15">
        <f>D15</f>
        <v>19</v>
      </c>
      <c r="H15">
        <f>E15</f>
        <v>20</v>
      </c>
    </row>
    <row r="16" spans="1:8">
      <c r="A16">
        <v>2012</v>
      </c>
      <c r="B16">
        <v>37</v>
      </c>
      <c r="C16">
        <f t="shared" si="0"/>
        <v>32</v>
      </c>
      <c r="D16">
        <v>18</v>
      </c>
      <c r="E16">
        <v>10</v>
      </c>
      <c r="F16">
        <f>B16/2</f>
        <v>18.5</v>
      </c>
      <c r="G16">
        <f t="shared" ref="G16:H18" si="1">D16/2</f>
        <v>9</v>
      </c>
      <c r="H16">
        <f t="shared" si="1"/>
        <v>5</v>
      </c>
    </row>
    <row r="17" spans="1:10">
      <c r="A17">
        <v>2013</v>
      </c>
      <c r="B17">
        <v>21</v>
      </c>
      <c r="C17">
        <f t="shared" si="0"/>
        <v>16</v>
      </c>
      <c r="D17">
        <v>19</v>
      </c>
      <c r="E17">
        <v>11</v>
      </c>
      <c r="F17">
        <f>B17/2</f>
        <v>10.5</v>
      </c>
      <c r="G17">
        <f t="shared" si="1"/>
        <v>9.5</v>
      </c>
      <c r="H17">
        <f t="shared" si="1"/>
        <v>5.5</v>
      </c>
    </row>
    <row r="18" spans="1:10">
      <c r="A18">
        <v>2014</v>
      </c>
      <c r="B18">
        <v>35</v>
      </c>
      <c r="C18">
        <f t="shared" si="0"/>
        <v>30</v>
      </c>
      <c r="D18">
        <v>19</v>
      </c>
      <c r="E18">
        <v>14</v>
      </c>
      <c r="F18">
        <f>B18/2</f>
        <v>17.5</v>
      </c>
      <c r="G18">
        <f t="shared" si="1"/>
        <v>9.5</v>
      </c>
      <c r="H18">
        <f t="shared" si="1"/>
        <v>7</v>
      </c>
    </row>
    <row r="19" spans="1:10">
      <c r="A19">
        <v>2015</v>
      </c>
      <c r="B19">
        <v>25</v>
      </c>
      <c r="C19">
        <f t="shared" si="0"/>
        <v>20</v>
      </c>
      <c r="D19">
        <v>19</v>
      </c>
      <c r="E19">
        <v>14</v>
      </c>
      <c r="F19">
        <f>B19</f>
        <v>25</v>
      </c>
      <c r="G19">
        <f>D19</f>
        <v>19</v>
      </c>
      <c r="H19">
        <f>E19</f>
        <v>14</v>
      </c>
    </row>
    <row r="20" spans="1:10">
      <c r="A20">
        <v>2016</v>
      </c>
      <c r="B20">
        <v>20</v>
      </c>
      <c r="C20">
        <f t="shared" si="0"/>
        <v>15</v>
      </c>
      <c r="D20">
        <v>19</v>
      </c>
      <c r="E20">
        <v>14</v>
      </c>
      <c r="F20">
        <f>B20</f>
        <v>20</v>
      </c>
      <c r="G20">
        <f>D20</f>
        <v>19</v>
      </c>
      <c r="H20">
        <f>E20</f>
        <v>14</v>
      </c>
    </row>
    <row r="22" spans="1:10">
      <c r="A22" s="1" t="s">
        <v>28</v>
      </c>
      <c r="J22" s="1"/>
    </row>
    <row r="23" spans="1:10">
      <c r="B23" t="s">
        <v>5</v>
      </c>
      <c r="C23" t="s">
        <v>10</v>
      </c>
      <c r="D23" t="s">
        <v>6</v>
      </c>
      <c r="E23" t="s">
        <v>7</v>
      </c>
      <c r="F23" t="s">
        <v>5</v>
      </c>
      <c r="G23" t="s">
        <v>6</v>
      </c>
      <c r="H23" t="s">
        <v>7</v>
      </c>
    </row>
    <row r="24" spans="1:10">
      <c r="A24">
        <v>2011</v>
      </c>
      <c r="B24">
        <f t="shared" ref="B24:B29" si="2">B15*0.209</f>
        <v>6.27</v>
      </c>
      <c r="C24">
        <f t="shared" ref="C24:C29" si="3">B24-5*0.209</f>
        <v>5.2249999999999996</v>
      </c>
      <c r="D24">
        <f t="shared" ref="D24:E29" si="4">D15*0.209</f>
        <v>3.9709999999999996</v>
      </c>
      <c r="E24">
        <f t="shared" si="4"/>
        <v>4.18</v>
      </c>
      <c r="F24">
        <f>B24/2</f>
        <v>3.1349999999999998</v>
      </c>
      <c r="G24">
        <f>D24</f>
        <v>3.9709999999999996</v>
      </c>
      <c r="H24">
        <f>E24</f>
        <v>4.18</v>
      </c>
    </row>
    <row r="25" spans="1:10">
      <c r="A25">
        <v>2012</v>
      </c>
      <c r="B25">
        <f t="shared" si="2"/>
        <v>7.7329999999999997</v>
      </c>
      <c r="C25">
        <f t="shared" si="3"/>
        <v>6.6879999999999997</v>
      </c>
      <c r="D25">
        <f t="shared" si="4"/>
        <v>3.762</v>
      </c>
      <c r="E25">
        <f t="shared" si="4"/>
        <v>2.09</v>
      </c>
      <c r="F25">
        <f>B25/2</f>
        <v>3.8664999999999998</v>
      </c>
      <c r="G25">
        <f t="shared" ref="G25:H29" si="5">0.67*D25</f>
        <v>2.52054</v>
      </c>
      <c r="H25">
        <f t="shared" si="5"/>
        <v>1.4002999999999999</v>
      </c>
    </row>
    <row r="26" spans="1:10">
      <c r="A26">
        <v>2013</v>
      </c>
      <c r="B26">
        <f t="shared" si="2"/>
        <v>4.3890000000000002</v>
      </c>
      <c r="C26">
        <f t="shared" si="3"/>
        <v>3.3440000000000003</v>
      </c>
      <c r="D26">
        <f t="shared" si="4"/>
        <v>3.9709999999999996</v>
      </c>
      <c r="E26">
        <f t="shared" si="4"/>
        <v>2.2989999999999999</v>
      </c>
      <c r="F26">
        <f>B26/2</f>
        <v>2.1945000000000001</v>
      </c>
      <c r="G26">
        <f t="shared" si="5"/>
        <v>2.6605699999999999</v>
      </c>
      <c r="H26">
        <f t="shared" si="5"/>
        <v>1.54033</v>
      </c>
    </row>
    <row r="27" spans="1:10">
      <c r="A27">
        <v>2014</v>
      </c>
      <c r="B27">
        <f t="shared" si="2"/>
        <v>7.3149999999999995</v>
      </c>
      <c r="C27">
        <f t="shared" si="3"/>
        <v>6.27</v>
      </c>
      <c r="D27">
        <f t="shared" si="4"/>
        <v>3.9709999999999996</v>
      </c>
      <c r="E27">
        <f t="shared" si="4"/>
        <v>2.9259999999999997</v>
      </c>
      <c r="F27">
        <f>B27/2</f>
        <v>3.6574999999999998</v>
      </c>
      <c r="G27">
        <f t="shared" si="5"/>
        <v>2.6605699999999999</v>
      </c>
      <c r="H27">
        <f t="shared" si="5"/>
        <v>1.9604199999999998</v>
      </c>
    </row>
    <row r="28" spans="1:10">
      <c r="A28">
        <v>2015</v>
      </c>
      <c r="B28">
        <f t="shared" si="2"/>
        <v>5.2249999999999996</v>
      </c>
      <c r="C28">
        <f t="shared" si="3"/>
        <v>4.18</v>
      </c>
      <c r="D28">
        <f t="shared" si="4"/>
        <v>3.9709999999999996</v>
      </c>
      <c r="E28">
        <f t="shared" si="4"/>
        <v>2.9259999999999997</v>
      </c>
      <c r="F28">
        <f>B28</f>
        <v>5.2249999999999996</v>
      </c>
      <c r="G28">
        <f t="shared" si="5"/>
        <v>2.6605699999999999</v>
      </c>
      <c r="H28">
        <f t="shared" si="5"/>
        <v>1.9604199999999998</v>
      </c>
    </row>
    <row r="29" spans="1:10">
      <c r="A29">
        <v>2016</v>
      </c>
      <c r="B29">
        <f t="shared" si="2"/>
        <v>4.18</v>
      </c>
      <c r="C29">
        <f t="shared" si="3"/>
        <v>3.1349999999999998</v>
      </c>
      <c r="D29">
        <f t="shared" si="4"/>
        <v>3.9709999999999996</v>
      </c>
      <c r="E29">
        <f t="shared" si="4"/>
        <v>2.9259999999999997</v>
      </c>
      <c r="F29">
        <f>B29</f>
        <v>4.18</v>
      </c>
      <c r="G29">
        <f t="shared" si="5"/>
        <v>2.6605699999999999</v>
      </c>
      <c r="H29">
        <f t="shared" si="5"/>
        <v>1.9604199999999998</v>
      </c>
    </row>
    <row r="31" spans="1:10">
      <c r="A31" s="1" t="s">
        <v>12</v>
      </c>
    </row>
    <row r="32" spans="1:10">
      <c r="A32" s="1"/>
      <c r="B32" t="s">
        <v>14</v>
      </c>
      <c r="C32" t="s">
        <v>13</v>
      </c>
      <c r="E32" s="1"/>
      <c r="I32" s="1"/>
    </row>
    <row r="33" spans="1:11">
      <c r="A33">
        <v>2011</v>
      </c>
      <c r="B33">
        <f>C24</f>
        <v>5.2249999999999996</v>
      </c>
      <c r="C33">
        <f>0.06*B33/1.03</f>
        <v>0.30436893203883492</v>
      </c>
    </row>
    <row r="34" spans="1:11">
      <c r="A34">
        <v>2012</v>
      </c>
      <c r="B34">
        <f>C25/1.03</f>
        <v>6.4932038834951449</v>
      </c>
      <c r="C34">
        <f>(0.06*(B34+B33))/1.03^2</f>
        <v>0.6627318625786679</v>
      </c>
    </row>
    <row r="35" spans="1:11">
      <c r="A35">
        <v>2013</v>
      </c>
      <c r="B35">
        <f>C26/1.03^2</f>
        <v>3.1520407201432752</v>
      </c>
      <c r="C35">
        <f>(0.06*(B35+B34+B33))/1.03^3</f>
        <v>0.81650281929366186</v>
      </c>
    </row>
    <row r="36" spans="1:11">
      <c r="A36">
        <v>2014</v>
      </c>
      <c r="B36">
        <f>C27/1.03^3</f>
        <v>5.7379382041443101</v>
      </c>
      <c r="C36">
        <f>(0.06*(B36+B35+B34+B33))/1.03^4</f>
        <v>1.098606210347624</v>
      </c>
    </row>
    <row r="37" spans="1:11">
      <c r="A37">
        <v>2015</v>
      </c>
      <c r="B37">
        <f>C28/1.03^4</f>
        <v>3.7138758602875797</v>
      </c>
      <c r="C37">
        <f>(0.06*(B37+B36+B35+B34+B33))/1.03^5</f>
        <v>1.2588252876830672</v>
      </c>
    </row>
    <row r="38" spans="1:11">
      <c r="B38">
        <f>SUM(B33:B37)</f>
        <v>24.322058668070309</v>
      </c>
      <c r="C38">
        <f>SUM(C33:C37)</f>
        <v>4.1410351119418563</v>
      </c>
    </row>
    <row r="40" spans="1:11">
      <c r="B40" t="s">
        <v>15</v>
      </c>
    </row>
    <row r="41" spans="1:11">
      <c r="B41" t="s">
        <v>16</v>
      </c>
      <c r="C41" s="2" t="s">
        <v>17</v>
      </c>
      <c r="D41" s="5" t="s">
        <v>26</v>
      </c>
      <c r="G41" s="2"/>
      <c r="K41" s="2"/>
    </row>
    <row r="42" spans="1:11">
      <c r="B42">
        <f>SUM(C24:C28)/1.03^5</f>
        <v>22.175084020163705</v>
      </c>
      <c r="C42">
        <f>0.333*SUM(C24:C28)/1.03^5</f>
        <v>7.3843029787145156</v>
      </c>
      <c r="D42">
        <v>0</v>
      </c>
    </row>
    <row r="44" spans="1:11">
      <c r="A44" s="1" t="s">
        <v>18</v>
      </c>
      <c r="B44" t="s">
        <v>9</v>
      </c>
      <c r="C44" t="s">
        <v>30</v>
      </c>
      <c r="D44" t="s">
        <v>21</v>
      </c>
      <c r="E44" s="1"/>
      <c r="I44" s="1"/>
    </row>
    <row r="45" spans="1:11">
      <c r="A45" t="s">
        <v>19</v>
      </c>
      <c r="B45">
        <f>B38-C38-B42</f>
        <v>-1.9940604640352539</v>
      </c>
      <c r="C45">
        <f>B38-C38-C42</f>
        <v>12.796720577413936</v>
      </c>
      <c r="D45">
        <f>B38-C38</f>
        <v>20.181023556128451</v>
      </c>
    </row>
    <row r="46" spans="1:11">
      <c r="A46" t="s">
        <v>20</v>
      </c>
      <c r="B46" s="1">
        <f>B45+C10+E10</f>
        <v>10.96393114812129</v>
      </c>
      <c r="C46" s="1">
        <f>C45+C10+E10</f>
        <v>25.754712189570483</v>
      </c>
      <c r="D46" s="1">
        <f>D45+C10+(-1)*E2-E8</f>
        <v>39.867363686481475</v>
      </c>
    </row>
  </sheetData>
  <pageMargins left="0.7" right="0.7" top="0.78740157499999996" bottom="0.78740157499999996" header="0.3" footer="0.3"/>
  <ignoredErrors>
    <ignoredError sqref="C24:C2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39"/>
  <sheetViews>
    <sheetView topLeftCell="A16" workbookViewId="0">
      <selection activeCell="I29" sqref="I29"/>
    </sheetView>
  </sheetViews>
  <sheetFormatPr baseColWidth="10" defaultRowHeight="15"/>
  <sheetData>
    <row r="1" spans="1:7">
      <c r="E1" t="s">
        <v>3</v>
      </c>
      <c r="F1" t="s">
        <v>2</v>
      </c>
    </row>
    <row r="2" spans="1:7">
      <c r="A2" s="1" t="s">
        <v>0</v>
      </c>
      <c r="D2" s="1" t="s">
        <v>1</v>
      </c>
      <c r="E2">
        <v>-7.8</v>
      </c>
      <c r="F2">
        <v>-7.8</v>
      </c>
    </row>
    <row r="3" spans="1:7">
      <c r="A3">
        <v>2011</v>
      </c>
      <c r="D3">
        <v>2011</v>
      </c>
      <c r="E3">
        <f>0.06*7.8/1.03</f>
        <v>0.45436893203883494</v>
      </c>
      <c r="F3">
        <f>0.06*3.9/1.03</f>
        <v>0.22718446601941747</v>
      </c>
    </row>
    <row r="4" spans="1:7">
      <c r="A4">
        <v>2012</v>
      </c>
      <c r="D4">
        <v>2012</v>
      </c>
      <c r="E4">
        <f>0.06*(7.8)/1.03^2</f>
        <v>0.441134885474597</v>
      </c>
      <c r="F4">
        <f>0.06*(3.9)/1.03^2</f>
        <v>0.2205674427372985</v>
      </c>
    </row>
    <row r="5" spans="1:7">
      <c r="A5">
        <v>2013</v>
      </c>
      <c r="B5">
        <v>3.25</v>
      </c>
      <c r="C5">
        <f>B5/1.03^3</f>
        <v>2.9742103928977688</v>
      </c>
      <c r="D5">
        <v>2013</v>
      </c>
      <c r="E5">
        <f>0.06*(7.8)/1.03^3</f>
        <v>0.42828629657727868</v>
      </c>
      <c r="F5">
        <f>0.06*(3.9)/1.03^3</f>
        <v>0.21414314828863934</v>
      </c>
    </row>
    <row r="6" spans="1:7">
      <c r="A6">
        <v>2014</v>
      </c>
      <c r="B6">
        <v>3.25</v>
      </c>
      <c r="C6">
        <f>B6/1.03^4</f>
        <v>2.887582905725989</v>
      </c>
    </row>
    <row r="7" spans="1:7">
      <c r="A7">
        <v>2015</v>
      </c>
      <c r="B7">
        <v>3.25</v>
      </c>
      <c r="C7">
        <f>B7/1.03^5</f>
        <v>2.8034785492485335</v>
      </c>
    </row>
    <row r="8" spans="1:7">
      <c r="A8">
        <v>2016</v>
      </c>
      <c r="B8">
        <v>3.25</v>
      </c>
      <c r="C8">
        <f>B8/1.03^6</f>
        <v>2.721823834221877</v>
      </c>
      <c r="E8">
        <f>SUM(E3:E7)</f>
        <v>1.3237901140907107</v>
      </c>
      <c r="F8">
        <f>SUM(F3:F7)</f>
        <v>0.66189505704535534</v>
      </c>
    </row>
    <row r="9" spans="1:7">
      <c r="A9">
        <v>2017</v>
      </c>
      <c r="B9">
        <v>3.25</v>
      </c>
      <c r="C9">
        <f>B9/1.03^7</f>
        <v>2.6425474118658996</v>
      </c>
      <c r="E9">
        <f>7.8/(1.03)^3</f>
        <v>7.1381049429546444</v>
      </c>
      <c r="F9">
        <f>3.9/1.03^3</f>
        <v>3.5690524714773222</v>
      </c>
    </row>
    <row r="10" spans="1:7">
      <c r="C10">
        <f>SUM(C5:C9)</f>
        <v>14.029643093960066</v>
      </c>
      <c r="E10">
        <f>(E2)*(-1)-E8-E9</f>
        <v>-0.66189505704535545</v>
      </c>
      <c r="F10">
        <f>F2*(-1)-F8-F9</f>
        <v>3.5690524714773222</v>
      </c>
    </row>
    <row r="13" spans="1:7">
      <c r="A13" s="1" t="s">
        <v>4</v>
      </c>
      <c r="F13" s="1" t="s">
        <v>8</v>
      </c>
    </row>
    <row r="14" spans="1:7">
      <c r="B14" t="s">
        <v>5</v>
      </c>
      <c r="C14" t="s">
        <v>6</v>
      </c>
      <c r="D14" t="s">
        <v>7</v>
      </c>
      <c r="E14" t="s">
        <v>5</v>
      </c>
      <c r="F14" t="s">
        <v>6</v>
      </c>
      <c r="G14" t="s">
        <v>7</v>
      </c>
    </row>
    <row r="15" spans="1:7">
      <c r="A15">
        <v>2011</v>
      </c>
      <c r="B15">
        <v>30</v>
      </c>
      <c r="C15">
        <v>19</v>
      </c>
      <c r="D15">
        <v>20</v>
      </c>
      <c r="E15">
        <f>B15/2</f>
        <v>15</v>
      </c>
      <c r="F15">
        <f>C15</f>
        <v>19</v>
      </c>
      <c r="G15">
        <f>D15</f>
        <v>20</v>
      </c>
    </row>
    <row r="16" spans="1:7">
      <c r="A16">
        <v>2012</v>
      </c>
      <c r="B16">
        <v>37</v>
      </c>
      <c r="C16">
        <v>18</v>
      </c>
      <c r="D16">
        <v>10</v>
      </c>
      <c r="E16">
        <f>B16/2</f>
        <v>18.5</v>
      </c>
      <c r="F16">
        <f>C16*0.67</f>
        <v>12.06</v>
      </c>
      <c r="G16">
        <f>0.67*D16</f>
        <v>6.7</v>
      </c>
    </row>
    <row r="17" spans="1:11">
      <c r="A17">
        <v>2013</v>
      </c>
      <c r="B17">
        <v>21</v>
      </c>
      <c r="C17">
        <v>19</v>
      </c>
      <c r="D17">
        <v>11</v>
      </c>
      <c r="E17">
        <f>B17/2</f>
        <v>10.5</v>
      </c>
      <c r="F17">
        <f>C17*0.67</f>
        <v>12.73</v>
      </c>
      <c r="G17">
        <f>0.67*D17</f>
        <v>7.37</v>
      </c>
    </row>
    <row r="20" spans="1:11">
      <c r="A20" s="1" t="s">
        <v>28</v>
      </c>
      <c r="I20" s="1" t="s">
        <v>24</v>
      </c>
    </row>
    <row r="21" spans="1:11">
      <c r="B21" t="s">
        <v>5</v>
      </c>
      <c r="C21" t="s">
        <v>6</v>
      </c>
      <c r="D21" t="s">
        <v>7</v>
      </c>
      <c r="E21" t="s">
        <v>5</v>
      </c>
      <c r="F21" t="s">
        <v>6</v>
      </c>
      <c r="G21" t="s">
        <v>7</v>
      </c>
      <c r="I21" t="s">
        <v>5</v>
      </c>
      <c r="J21" t="s">
        <v>6</v>
      </c>
      <c r="K21" t="s">
        <v>7</v>
      </c>
    </row>
    <row r="22" spans="1:11">
      <c r="A22">
        <v>2011</v>
      </c>
      <c r="B22">
        <f t="shared" ref="B22:D24" si="0">B15*0.209</f>
        <v>6.27</v>
      </c>
      <c r="C22">
        <f t="shared" si="0"/>
        <v>3.9709999999999996</v>
      </c>
      <c r="D22">
        <f t="shared" si="0"/>
        <v>4.18</v>
      </c>
      <c r="E22">
        <f>B22/2</f>
        <v>3.1349999999999998</v>
      </c>
      <c r="F22">
        <f>C22</f>
        <v>3.9709999999999996</v>
      </c>
      <c r="G22">
        <f>D22</f>
        <v>4.18</v>
      </c>
      <c r="I22">
        <f>B22-E22+B23-E23+B24-E24</f>
        <v>9.1959999999999997</v>
      </c>
      <c r="J22">
        <f>C23-F23+C24-F24</f>
        <v>2.5518900000000002</v>
      </c>
      <c r="K22">
        <f>D23-G23+D24-G24</f>
        <v>1.4483699999999997</v>
      </c>
    </row>
    <row r="23" spans="1:11">
      <c r="A23">
        <v>2012</v>
      </c>
      <c r="B23">
        <f t="shared" si="0"/>
        <v>7.7329999999999997</v>
      </c>
      <c r="C23">
        <f t="shared" si="0"/>
        <v>3.762</v>
      </c>
      <c r="D23">
        <f t="shared" si="0"/>
        <v>2.09</v>
      </c>
      <c r="E23">
        <f>B23/2</f>
        <v>3.8664999999999998</v>
      </c>
      <c r="F23">
        <f>0.67*C23</f>
        <v>2.52054</v>
      </c>
      <c r="G23">
        <f>0.67*D23</f>
        <v>1.4002999999999999</v>
      </c>
    </row>
    <row r="24" spans="1:11">
      <c r="A24">
        <v>2013</v>
      </c>
      <c r="B24">
        <f t="shared" si="0"/>
        <v>4.3890000000000002</v>
      </c>
      <c r="C24">
        <f t="shared" si="0"/>
        <v>3.9709999999999996</v>
      </c>
      <c r="D24">
        <f t="shared" si="0"/>
        <v>2.2989999999999999</v>
      </c>
      <c r="E24">
        <f>B24/2</f>
        <v>2.1945000000000001</v>
      </c>
      <c r="F24">
        <f>0.67*C24</f>
        <v>2.6605699999999999</v>
      </c>
      <c r="G24">
        <f>0.67*D24</f>
        <v>1.54033</v>
      </c>
    </row>
    <row r="27" spans="1:11">
      <c r="A27" s="1" t="s">
        <v>12</v>
      </c>
    </row>
    <row r="28" spans="1:11">
      <c r="A28" s="1"/>
      <c r="B28" t="s">
        <v>14</v>
      </c>
      <c r="C28" t="s">
        <v>13</v>
      </c>
      <c r="E28" s="1"/>
      <c r="F28" t="s">
        <v>14</v>
      </c>
      <c r="G28" t="s">
        <v>13</v>
      </c>
    </row>
    <row r="29" spans="1:11">
      <c r="A29">
        <v>2011</v>
      </c>
      <c r="B29">
        <f>E22</f>
        <v>3.1349999999999998</v>
      </c>
      <c r="C29">
        <f>0.06*B29/1.03</f>
        <v>0.18262135922330094</v>
      </c>
      <c r="E29">
        <v>2011</v>
      </c>
      <c r="F29">
        <f>E22</f>
        <v>3.1349999999999998</v>
      </c>
      <c r="G29">
        <f>0.06*F29/1.03</f>
        <v>0.18262135922330094</v>
      </c>
    </row>
    <row r="30" spans="1:11">
      <c r="A30">
        <v>2012</v>
      </c>
      <c r="B30">
        <f>E23/1.03</f>
        <v>3.7538834951456308</v>
      </c>
      <c r="C30">
        <f>(0.06*(B30+B29))/1.03^2</f>
        <v>0.38960600406139867</v>
      </c>
      <c r="E30">
        <v>2012</v>
      </c>
      <c r="F30">
        <f>(E23+F23+G23)/1.03</f>
        <v>7.5605242718446597</v>
      </c>
      <c r="G30">
        <f>(0.06*(F30+F29))/1.03^2</f>
        <v>0.60489344548089319</v>
      </c>
    </row>
    <row r="31" spans="1:11">
      <c r="A31">
        <v>2013</v>
      </c>
      <c r="B31">
        <f>E24/1.03^2</f>
        <v>2.068526722594024</v>
      </c>
      <c r="C31">
        <f>(0.06*(B31+B30+B29))/1.03^3</f>
        <v>0.49183795501015287</v>
      </c>
      <c r="E31">
        <v>2013</v>
      </c>
      <c r="F31">
        <f>(E24+F24+G24)/1.03^2</f>
        <v>6.0282778772740127</v>
      </c>
      <c r="G31">
        <f>(0.06*(F31+F30+F29))/1.03^3</f>
        <v>0.91827888296630389</v>
      </c>
    </row>
    <row r="32" spans="1:11">
      <c r="B32">
        <f>SUM(B29:B31)</f>
        <v>8.9574102177396551</v>
      </c>
      <c r="C32">
        <f>SUM(C29:C31)</f>
        <v>1.0640653182948525</v>
      </c>
      <c r="F32">
        <f>SUM(F29:F31)</f>
        <v>16.723802149118672</v>
      </c>
      <c r="G32">
        <f>SUM(G29:G31)</f>
        <v>1.705793687670498</v>
      </c>
    </row>
    <row r="34" spans="1:9">
      <c r="B34" t="s">
        <v>25</v>
      </c>
      <c r="C34" t="s">
        <v>22</v>
      </c>
      <c r="F34" t="s">
        <v>25</v>
      </c>
      <c r="G34" t="s">
        <v>22</v>
      </c>
      <c r="I34" s="1"/>
    </row>
    <row r="35" spans="1:9">
      <c r="B35">
        <f>SUM(E22:E24)/(1.03)^3</f>
        <v>8.4156426994116558</v>
      </c>
      <c r="C35" s="3">
        <f>I22</f>
        <v>9.1959999999999997</v>
      </c>
      <c r="F35">
        <f>SUM(E22+E23+F23+G23+E24+F24+G24)/1.03^3</f>
        <v>15.848185319846586</v>
      </c>
      <c r="G35" s="4">
        <f>I22+J22+K22</f>
        <v>13.196259999999999</v>
      </c>
    </row>
    <row r="37" spans="1:9">
      <c r="A37" s="1" t="s">
        <v>18</v>
      </c>
      <c r="B37" t="s">
        <v>23</v>
      </c>
      <c r="E37" s="1" t="s">
        <v>18</v>
      </c>
      <c r="F37" t="s">
        <v>31</v>
      </c>
    </row>
    <row r="38" spans="1:9">
      <c r="A38" t="s">
        <v>19</v>
      </c>
      <c r="B38" s="3">
        <f>B32-C32-B35+C35</f>
        <v>8.6737022000331461</v>
      </c>
      <c r="E38" t="s">
        <v>19</v>
      </c>
      <c r="F38" s="4">
        <f>F32-F35-G32+G35</f>
        <v>12.366083141601587</v>
      </c>
    </row>
    <row r="39" spans="1:9">
      <c r="A39" t="s">
        <v>20</v>
      </c>
      <c r="B39" s="7">
        <f>B38+C10+F10</f>
        <v>26.272397765470537</v>
      </c>
      <c r="E39" t="s">
        <v>20</v>
      </c>
      <c r="F39" s="6">
        <f>C10+F10+F38</f>
        <v>29.964778707038974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6"/>
  <sheetViews>
    <sheetView topLeftCell="A22" workbookViewId="0">
      <selection activeCell="E35" sqref="E35"/>
    </sheetView>
  </sheetViews>
  <sheetFormatPr baseColWidth="10" defaultRowHeight="15"/>
  <sheetData>
    <row r="1" spans="1:8">
      <c r="E1" t="s">
        <v>3</v>
      </c>
      <c r="F1" t="s">
        <v>2</v>
      </c>
    </row>
    <row r="2" spans="1:8">
      <c r="A2" s="1" t="s">
        <v>0</v>
      </c>
      <c r="D2" s="1" t="s">
        <v>1</v>
      </c>
      <c r="E2">
        <v>-4.5</v>
      </c>
      <c r="F2">
        <v>-4.5</v>
      </c>
    </row>
    <row r="3" spans="1:8">
      <c r="A3">
        <v>2011</v>
      </c>
      <c r="D3">
        <v>2011</v>
      </c>
      <c r="E3">
        <f>0.06*4.5/1.03</f>
        <v>0.26213592233009708</v>
      </c>
      <c r="F3">
        <f>0.06*2.25/1.03</f>
        <v>0.13106796116504854</v>
      </c>
    </row>
    <row r="4" spans="1:8">
      <c r="A4">
        <v>2012</v>
      </c>
      <c r="D4">
        <v>2012</v>
      </c>
      <c r="E4">
        <f>0.06*(4.5)/1.03^2</f>
        <v>0.25450089546611371</v>
      </c>
      <c r="F4">
        <f>0.06*(2.25)/1.03^2</f>
        <v>0.12725044773305685</v>
      </c>
    </row>
    <row r="5" spans="1:8">
      <c r="A5">
        <v>2013</v>
      </c>
      <c r="B5">
        <v>1.9</v>
      </c>
      <c r="C5">
        <f>B5/1.03^3</f>
        <v>1.7387691527710032</v>
      </c>
      <c r="D5">
        <v>2013</v>
      </c>
      <c r="E5">
        <f>0.06*(4.5)/1.03^3</f>
        <v>0.24708824802535309</v>
      </c>
      <c r="F5">
        <f>0.06*(2.2)/1.03^3</f>
        <v>0.12079869903461707</v>
      </c>
    </row>
    <row r="6" spans="1:8">
      <c r="A6">
        <v>2014</v>
      </c>
      <c r="B6">
        <v>1.9</v>
      </c>
      <c r="C6">
        <f>B6/1.03^4</f>
        <v>1.6881253910398091</v>
      </c>
      <c r="D6">
        <v>2014</v>
      </c>
      <c r="E6">
        <f>0.06*(4.5)/1.03^4</f>
        <v>0.23989150293723605</v>
      </c>
      <c r="F6">
        <f>0.06*(2.25)/1.03^4</f>
        <v>0.11994575146861802</v>
      </c>
    </row>
    <row r="7" spans="1:8">
      <c r="A7">
        <v>2015</v>
      </c>
      <c r="B7">
        <v>1.9</v>
      </c>
      <c r="C7">
        <f>B7/1.03^5</f>
        <v>1.6389566903299118</v>
      </c>
      <c r="D7">
        <v>2015</v>
      </c>
      <c r="E7">
        <f>0.06*(4.5)/1.03^5</f>
        <v>0.23290437178372433</v>
      </c>
      <c r="F7">
        <f>0.06*(2.25)/1.03^5</f>
        <v>0.11645218589186217</v>
      </c>
    </row>
    <row r="8" spans="1:8">
      <c r="A8">
        <v>2016</v>
      </c>
      <c r="B8">
        <v>1.9</v>
      </c>
      <c r="C8">
        <f>B8/1.03^6</f>
        <v>1.5912200876989433</v>
      </c>
      <c r="E8">
        <f>SUM(E3:E7)</f>
        <v>1.2365209405425244</v>
      </c>
      <c r="F8">
        <f>SUM(F3:F7)</f>
        <v>0.61551504529320267</v>
      </c>
    </row>
    <row r="9" spans="1:8">
      <c r="A9">
        <v>2017</v>
      </c>
      <c r="B9">
        <v>1.9</v>
      </c>
      <c r="C9">
        <f>B9/1.03^7</f>
        <v>1.544873871552372</v>
      </c>
      <c r="E9">
        <f>4.5/(1.03)^5</f>
        <v>3.8817395297287383</v>
      </c>
      <c r="F9">
        <f>2.25/1.03^5</f>
        <v>1.9408697648643691</v>
      </c>
    </row>
    <row r="10" spans="1:8">
      <c r="C10">
        <f>SUM(C5:C9)</f>
        <v>8.2019451933920386</v>
      </c>
      <c r="E10">
        <f>(E2)*(-1)-E8-E9</f>
        <v>-0.61826047027126263</v>
      </c>
      <c r="F10">
        <f>F2*(-1)-F8-F9</f>
        <v>1.9436151898424281</v>
      </c>
    </row>
    <row r="13" spans="1:8">
      <c r="A13" s="1" t="s">
        <v>4</v>
      </c>
      <c r="F13" s="1" t="s">
        <v>8</v>
      </c>
    </row>
    <row r="14" spans="1:8">
      <c r="B14" t="s">
        <v>5</v>
      </c>
      <c r="C14" t="s">
        <v>10</v>
      </c>
      <c r="D14" t="s">
        <v>6</v>
      </c>
      <c r="E14" t="s">
        <v>7</v>
      </c>
      <c r="F14" t="s">
        <v>5</v>
      </c>
      <c r="G14" t="s">
        <v>6</v>
      </c>
      <c r="H14" t="s">
        <v>7</v>
      </c>
    </row>
    <row r="15" spans="1:8">
      <c r="A15">
        <v>2011</v>
      </c>
      <c r="B15">
        <v>30</v>
      </c>
      <c r="C15">
        <f t="shared" ref="C15:C20" si="0">B15-5</f>
        <v>25</v>
      </c>
      <c r="D15">
        <v>19</v>
      </c>
      <c r="E15">
        <v>20</v>
      </c>
      <c r="F15">
        <f>B15/2</f>
        <v>15</v>
      </c>
      <c r="G15">
        <f>D15</f>
        <v>19</v>
      </c>
      <c r="H15">
        <f>E15</f>
        <v>20</v>
      </c>
    </row>
    <row r="16" spans="1:8">
      <c r="A16">
        <v>2012</v>
      </c>
      <c r="B16">
        <v>37</v>
      </c>
      <c r="C16">
        <f t="shared" si="0"/>
        <v>32</v>
      </c>
      <c r="D16">
        <v>18</v>
      </c>
      <c r="E16">
        <v>10</v>
      </c>
      <c r="F16">
        <f>B16/2</f>
        <v>18.5</v>
      </c>
      <c r="G16">
        <f t="shared" ref="G16:H18" si="1">D16/2</f>
        <v>9</v>
      </c>
      <c r="H16">
        <f t="shared" si="1"/>
        <v>5</v>
      </c>
    </row>
    <row r="17" spans="1:10">
      <c r="A17">
        <v>2013</v>
      </c>
      <c r="B17">
        <v>21</v>
      </c>
      <c r="C17">
        <f t="shared" si="0"/>
        <v>16</v>
      </c>
      <c r="D17">
        <v>19</v>
      </c>
      <c r="E17">
        <v>11</v>
      </c>
      <c r="F17">
        <f>B17/2</f>
        <v>10.5</v>
      </c>
      <c r="G17">
        <f t="shared" si="1"/>
        <v>9.5</v>
      </c>
      <c r="H17">
        <f t="shared" si="1"/>
        <v>5.5</v>
      </c>
    </row>
    <row r="18" spans="1:10">
      <c r="A18">
        <v>2014</v>
      </c>
      <c r="B18">
        <v>35</v>
      </c>
      <c r="C18">
        <f t="shared" si="0"/>
        <v>30</v>
      </c>
      <c r="D18">
        <v>19</v>
      </c>
      <c r="E18">
        <v>14</v>
      </c>
      <c r="F18">
        <f>B18/2</f>
        <v>17.5</v>
      </c>
      <c r="G18">
        <f t="shared" si="1"/>
        <v>9.5</v>
      </c>
      <c r="H18">
        <f t="shared" si="1"/>
        <v>7</v>
      </c>
    </row>
    <row r="19" spans="1:10">
      <c r="A19">
        <v>2015</v>
      </c>
      <c r="B19">
        <v>25</v>
      </c>
      <c r="C19">
        <f t="shared" si="0"/>
        <v>20</v>
      </c>
      <c r="D19">
        <v>19</v>
      </c>
      <c r="E19">
        <v>14</v>
      </c>
      <c r="F19">
        <f>B19</f>
        <v>25</v>
      </c>
      <c r="G19">
        <f>D19</f>
        <v>19</v>
      </c>
      <c r="H19">
        <f>E19</f>
        <v>14</v>
      </c>
    </row>
    <row r="20" spans="1:10">
      <c r="A20">
        <v>2016</v>
      </c>
      <c r="B20">
        <v>20</v>
      </c>
      <c r="C20">
        <f t="shared" si="0"/>
        <v>15</v>
      </c>
      <c r="D20">
        <v>19</v>
      </c>
      <c r="E20">
        <v>14</v>
      </c>
      <c r="F20">
        <f>B20</f>
        <v>20</v>
      </c>
      <c r="G20">
        <f>D20</f>
        <v>19</v>
      </c>
      <c r="H20">
        <f>E20</f>
        <v>14</v>
      </c>
    </row>
    <row r="22" spans="1:10">
      <c r="A22" s="1" t="s">
        <v>27</v>
      </c>
      <c r="J22" s="1"/>
    </row>
    <row r="23" spans="1:10">
      <c r="B23" t="s">
        <v>5</v>
      </c>
      <c r="C23" t="s">
        <v>10</v>
      </c>
      <c r="D23" t="s">
        <v>6</v>
      </c>
      <c r="E23" t="s">
        <v>7</v>
      </c>
      <c r="F23" t="s">
        <v>5</v>
      </c>
      <c r="G23" t="s">
        <v>6</v>
      </c>
      <c r="H23" t="s">
        <v>7</v>
      </c>
    </row>
    <row r="24" spans="1:10">
      <c r="A24">
        <v>2011</v>
      </c>
      <c r="B24">
        <f t="shared" ref="B24:B29" si="2">B15*0.122</f>
        <v>3.66</v>
      </c>
      <c r="C24">
        <f t="shared" ref="C24:C29" si="3">B24-5*0.122</f>
        <v>3.0500000000000003</v>
      </c>
      <c r="D24">
        <f t="shared" ref="D24:E29" si="4">D15*0.122</f>
        <v>2.3180000000000001</v>
      </c>
      <c r="E24">
        <f t="shared" si="4"/>
        <v>2.44</v>
      </c>
      <c r="F24">
        <f>B24/2</f>
        <v>1.83</v>
      </c>
      <c r="G24">
        <f>D24</f>
        <v>2.3180000000000001</v>
      </c>
      <c r="H24">
        <f>E24</f>
        <v>2.44</v>
      </c>
    </row>
    <row r="25" spans="1:10">
      <c r="A25">
        <v>2012</v>
      </c>
      <c r="B25">
        <f t="shared" si="2"/>
        <v>4.5140000000000002</v>
      </c>
      <c r="C25">
        <f t="shared" si="3"/>
        <v>3.9040000000000004</v>
      </c>
      <c r="D25">
        <f t="shared" si="4"/>
        <v>2.1959999999999997</v>
      </c>
      <c r="E25">
        <f t="shared" si="4"/>
        <v>1.22</v>
      </c>
      <c r="F25">
        <f>B25/2</f>
        <v>2.2570000000000001</v>
      </c>
      <c r="G25">
        <f t="shared" ref="G25:H29" si="5">0.67*D25</f>
        <v>1.47132</v>
      </c>
      <c r="H25">
        <f t="shared" si="5"/>
        <v>0.81740000000000002</v>
      </c>
    </row>
    <row r="26" spans="1:10">
      <c r="A26">
        <v>2013</v>
      </c>
      <c r="B26">
        <f t="shared" si="2"/>
        <v>2.5619999999999998</v>
      </c>
      <c r="C26">
        <f t="shared" si="3"/>
        <v>1.952</v>
      </c>
      <c r="D26">
        <f t="shared" si="4"/>
        <v>2.3180000000000001</v>
      </c>
      <c r="E26">
        <f t="shared" si="4"/>
        <v>1.3420000000000001</v>
      </c>
      <c r="F26">
        <f>B26/2</f>
        <v>1.2809999999999999</v>
      </c>
      <c r="G26">
        <f t="shared" si="5"/>
        <v>1.5530600000000001</v>
      </c>
      <c r="H26">
        <f t="shared" si="5"/>
        <v>0.89914000000000016</v>
      </c>
    </row>
    <row r="27" spans="1:10">
      <c r="A27">
        <v>2014</v>
      </c>
      <c r="B27">
        <f t="shared" si="2"/>
        <v>4.2699999999999996</v>
      </c>
      <c r="C27">
        <f t="shared" si="3"/>
        <v>3.6599999999999997</v>
      </c>
      <c r="D27">
        <f t="shared" si="4"/>
        <v>2.3180000000000001</v>
      </c>
      <c r="E27">
        <f t="shared" si="4"/>
        <v>1.708</v>
      </c>
      <c r="F27">
        <f>B27/2</f>
        <v>2.1349999999999998</v>
      </c>
      <c r="G27">
        <f t="shared" si="5"/>
        <v>1.5530600000000001</v>
      </c>
      <c r="H27">
        <f t="shared" si="5"/>
        <v>1.14436</v>
      </c>
    </row>
    <row r="28" spans="1:10">
      <c r="A28">
        <v>2015</v>
      </c>
      <c r="B28">
        <f t="shared" si="2"/>
        <v>3.05</v>
      </c>
      <c r="C28">
        <f t="shared" si="3"/>
        <v>2.44</v>
      </c>
      <c r="D28">
        <f t="shared" si="4"/>
        <v>2.3180000000000001</v>
      </c>
      <c r="E28">
        <f t="shared" si="4"/>
        <v>1.708</v>
      </c>
      <c r="F28">
        <f>B28</f>
        <v>3.05</v>
      </c>
      <c r="G28">
        <f t="shared" si="5"/>
        <v>1.5530600000000001</v>
      </c>
      <c r="H28">
        <f t="shared" si="5"/>
        <v>1.14436</v>
      </c>
    </row>
    <row r="29" spans="1:10">
      <c r="A29">
        <v>2016</v>
      </c>
      <c r="B29">
        <f t="shared" si="2"/>
        <v>2.44</v>
      </c>
      <c r="C29">
        <f t="shared" si="3"/>
        <v>1.83</v>
      </c>
      <c r="D29">
        <f t="shared" si="4"/>
        <v>2.3180000000000001</v>
      </c>
      <c r="E29">
        <f t="shared" si="4"/>
        <v>1.708</v>
      </c>
      <c r="F29">
        <f>B29</f>
        <v>2.44</v>
      </c>
      <c r="G29">
        <f t="shared" si="5"/>
        <v>1.5530600000000001</v>
      </c>
      <c r="H29">
        <f t="shared" si="5"/>
        <v>1.14436</v>
      </c>
    </row>
    <row r="31" spans="1:10">
      <c r="A31" s="1" t="s">
        <v>12</v>
      </c>
    </row>
    <row r="32" spans="1:10">
      <c r="A32" s="1"/>
      <c r="B32" t="s">
        <v>14</v>
      </c>
      <c r="C32" t="s">
        <v>13</v>
      </c>
      <c r="E32" s="1"/>
      <c r="I32" s="1"/>
    </row>
    <row r="33" spans="1:11">
      <c r="A33">
        <v>2011</v>
      </c>
      <c r="B33">
        <f>C24</f>
        <v>3.0500000000000003</v>
      </c>
      <c r="C33">
        <f>0.06*B33/1.03</f>
        <v>0.17766990291262136</v>
      </c>
    </row>
    <row r="34" spans="1:11">
      <c r="A34">
        <v>2012</v>
      </c>
      <c r="B34">
        <f>C25/1.03</f>
        <v>3.7902912621359226</v>
      </c>
      <c r="C34">
        <f>(0.06*(B34+B33))/1.03^2</f>
        <v>0.38685783365836118</v>
      </c>
    </row>
    <row r="35" spans="1:11">
      <c r="A35">
        <v>2013</v>
      </c>
      <c r="B35">
        <f>C26/1.03^2</f>
        <v>1.8399472146290885</v>
      </c>
      <c r="C35">
        <f>(0.06*(B35+B34+B33))/1.03^3</f>
        <v>0.47661887059247243</v>
      </c>
    </row>
    <row r="36" spans="1:11">
      <c r="A36">
        <v>2014</v>
      </c>
      <c r="B36">
        <f>C27/1.03^3</f>
        <v>3.3494184732325638</v>
      </c>
      <c r="C36">
        <f>(0.06*(B36+B35+B34+B33))/1.03^4</f>
        <v>0.6412916634565079</v>
      </c>
    </row>
    <row r="37" spans="1:11">
      <c r="A37">
        <v>2015</v>
      </c>
      <c r="B37">
        <f>C28/1.03^4</f>
        <v>2.1679083969142812</v>
      </c>
      <c r="C37">
        <f>(0.06*(B37+B36+B35+B34+B33))/1.03^5</f>
        <v>0.7348166751068621</v>
      </c>
    </row>
    <row r="38" spans="1:11">
      <c r="B38">
        <f>SUM(B33:B37)</f>
        <v>14.197565346911857</v>
      </c>
      <c r="C38">
        <f>SUM(C33:C37)</f>
        <v>2.4172549457268246</v>
      </c>
    </row>
    <row r="40" spans="1:11">
      <c r="B40" t="s">
        <v>15</v>
      </c>
    </row>
    <row r="41" spans="1:11">
      <c r="B41" t="s">
        <v>16</v>
      </c>
      <c r="C41" s="2" t="s">
        <v>17</v>
      </c>
      <c r="D41" s="5" t="s">
        <v>26</v>
      </c>
      <c r="G41" s="2"/>
      <c r="K41" s="2"/>
    </row>
    <row r="42" spans="1:11">
      <c r="B42">
        <f>SUM(C24:C28)/1.03^5</f>
        <v>12.944307418468767</v>
      </c>
      <c r="C42">
        <f>0.333*SUM(C24:C28)/1.03^5</f>
        <v>4.3104543703500999</v>
      </c>
      <c r="D42">
        <v>0</v>
      </c>
    </row>
    <row r="44" spans="1:11">
      <c r="A44" s="1" t="s">
        <v>18</v>
      </c>
      <c r="B44" t="s">
        <v>9</v>
      </c>
      <c r="C44" t="s">
        <v>30</v>
      </c>
      <c r="D44" t="s">
        <v>21</v>
      </c>
      <c r="E44" s="1"/>
      <c r="I44" s="1"/>
    </row>
    <row r="45" spans="1:11">
      <c r="A45" t="s">
        <v>19</v>
      </c>
      <c r="B45">
        <f>B38-C38-B42</f>
        <v>-1.1639970172837355</v>
      </c>
      <c r="C45">
        <f>B38-C38-C42</f>
        <v>7.469856030834932</v>
      </c>
      <c r="D45">
        <f>B38-C38</f>
        <v>11.780310401185032</v>
      </c>
    </row>
    <row r="46" spans="1:11">
      <c r="A46" t="s">
        <v>20</v>
      </c>
      <c r="B46" s="1">
        <f>B45+C10+E10</f>
        <v>6.4196877058370401</v>
      </c>
      <c r="C46" s="1">
        <f>C45+C10+E10</f>
        <v>15.053540753955708</v>
      </c>
      <c r="D46" s="1">
        <f>D45+C10+(-1)*E2-E8</f>
        <v>23.245734654034543</v>
      </c>
    </row>
  </sheetData>
  <pageMargins left="0.7" right="0.7" top="0.78740157499999996" bottom="0.78740157499999996" header="0.3" footer="0.3"/>
  <ignoredErrors>
    <ignoredError sqref="C24:C2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K39"/>
  <sheetViews>
    <sheetView topLeftCell="A16" workbookViewId="0">
      <selection activeCell="I27" sqref="I27"/>
    </sheetView>
  </sheetViews>
  <sheetFormatPr baseColWidth="10" defaultRowHeight="15"/>
  <sheetData>
    <row r="1" spans="1:7">
      <c r="E1" t="s">
        <v>3</v>
      </c>
      <c r="F1" t="s">
        <v>2</v>
      </c>
    </row>
    <row r="2" spans="1:7">
      <c r="A2" s="1" t="s">
        <v>0</v>
      </c>
      <c r="D2" s="1" t="s">
        <v>1</v>
      </c>
      <c r="E2">
        <v>-4.5</v>
      </c>
      <c r="F2">
        <v>-4.5</v>
      </c>
    </row>
    <row r="3" spans="1:7">
      <c r="A3">
        <v>2011</v>
      </c>
      <c r="D3">
        <v>2011</v>
      </c>
      <c r="E3">
        <f>0.06*4.5/1.03</f>
        <v>0.26213592233009708</v>
      </c>
      <c r="F3">
        <f>0.06*2.25/1.03</f>
        <v>0.13106796116504854</v>
      </c>
    </row>
    <row r="4" spans="1:7">
      <c r="A4">
        <v>2012</v>
      </c>
      <c r="D4">
        <v>2012</v>
      </c>
      <c r="E4">
        <f>0.06*(4.5)/1.03^2</f>
        <v>0.25450089546611371</v>
      </c>
      <c r="F4">
        <f>0.06*(2.25)/1.03^2</f>
        <v>0.12725044773305685</v>
      </c>
    </row>
    <row r="5" spans="1:7">
      <c r="A5">
        <v>2013</v>
      </c>
      <c r="B5">
        <v>1.9</v>
      </c>
      <c r="C5">
        <f>B5/1.03^3</f>
        <v>1.7387691527710032</v>
      </c>
      <c r="D5">
        <v>2013</v>
      </c>
      <c r="E5">
        <f>0.06*(4.5)/1.03^3</f>
        <v>0.24708824802535309</v>
      </c>
      <c r="F5">
        <f>0.06*(2.25)/1.03^3</f>
        <v>0.12354412401267655</v>
      </c>
    </row>
    <row r="6" spans="1:7">
      <c r="A6">
        <v>2014</v>
      </c>
      <c r="B6">
        <v>1.9</v>
      </c>
      <c r="C6">
        <f>B6/1.03^4</f>
        <v>1.6881253910398091</v>
      </c>
    </row>
    <row r="7" spans="1:7">
      <c r="A7">
        <v>2015</v>
      </c>
      <c r="B7">
        <v>1.9</v>
      </c>
      <c r="C7">
        <f>B7/1.03^5</f>
        <v>1.6389566903299118</v>
      </c>
    </row>
    <row r="8" spans="1:7">
      <c r="A8">
        <v>2016</v>
      </c>
      <c r="B8">
        <v>1.9</v>
      </c>
      <c r="C8">
        <f>B8/1.03^6</f>
        <v>1.5912200876989433</v>
      </c>
      <c r="E8">
        <f>SUM(E3:E7)</f>
        <v>0.76372506582156396</v>
      </c>
      <c r="F8">
        <f>SUM(F3:F7)</f>
        <v>0.38186253291078198</v>
      </c>
    </row>
    <row r="9" spans="1:7">
      <c r="A9">
        <v>2017</v>
      </c>
      <c r="B9">
        <v>1.9</v>
      </c>
      <c r="C9">
        <f>B9/1.03^7</f>
        <v>1.544873871552372</v>
      </c>
      <c r="E9">
        <f>4.5/(1.03)^3</f>
        <v>4.1181374670892179</v>
      </c>
      <c r="F9">
        <f>2.25/1.03^3</f>
        <v>2.059068733544609</v>
      </c>
    </row>
    <row r="10" spans="1:7">
      <c r="C10">
        <f>SUM(C5:C9)</f>
        <v>8.2019451933920386</v>
      </c>
      <c r="E10">
        <f>(E2)*(-1)-E8-E9</f>
        <v>-0.38186253291078209</v>
      </c>
      <c r="F10">
        <f>F2*(-1)-F8-F9</f>
        <v>2.059068733544609</v>
      </c>
    </row>
    <row r="13" spans="1:7">
      <c r="A13" s="1" t="s">
        <v>4</v>
      </c>
      <c r="F13" s="1" t="s">
        <v>8</v>
      </c>
    </row>
    <row r="14" spans="1:7">
      <c r="B14" t="s">
        <v>5</v>
      </c>
      <c r="C14" t="s">
        <v>6</v>
      </c>
      <c r="D14" t="s">
        <v>7</v>
      </c>
      <c r="E14" t="s">
        <v>5</v>
      </c>
      <c r="F14" t="s">
        <v>6</v>
      </c>
      <c r="G14" t="s">
        <v>7</v>
      </c>
    </row>
    <row r="15" spans="1:7">
      <c r="A15">
        <v>2011</v>
      </c>
      <c r="B15">
        <v>30</v>
      </c>
      <c r="C15">
        <v>19</v>
      </c>
      <c r="D15">
        <v>20</v>
      </c>
      <c r="E15">
        <f>B15/2</f>
        <v>15</v>
      </c>
      <c r="F15">
        <f>C15</f>
        <v>19</v>
      </c>
      <c r="G15">
        <f>D15</f>
        <v>20</v>
      </c>
    </row>
    <row r="16" spans="1:7">
      <c r="A16">
        <v>2012</v>
      </c>
      <c r="B16">
        <v>37</v>
      </c>
      <c r="C16">
        <v>18</v>
      </c>
      <c r="D16">
        <v>10</v>
      </c>
      <c r="E16">
        <f>B16/2</f>
        <v>18.5</v>
      </c>
      <c r="F16">
        <f>C16*0.67</f>
        <v>12.06</v>
      </c>
      <c r="G16">
        <f>0.67*D16</f>
        <v>6.7</v>
      </c>
    </row>
    <row r="17" spans="1:11">
      <c r="A17">
        <v>2013</v>
      </c>
      <c r="B17">
        <v>21</v>
      </c>
      <c r="C17">
        <v>19</v>
      </c>
      <c r="D17">
        <v>11</v>
      </c>
      <c r="E17">
        <f>B17/2</f>
        <v>10.5</v>
      </c>
      <c r="F17">
        <f>C17*0.67</f>
        <v>12.73</v>
      </c>
      <c r="G17">
        <f>0.67*D17</f>
        <v>7.37</v>
      </c>
    </row>
    <row r="20" spans="1:11">
      <c r="A20" s="1" t="s">
        <v>27</v>
      </c>
      <c r="I20" s="1" t="s">
        <v>24</v>
      </c>
    </row>
    <row r="21" spans="1:11">
      <c r="B21" t="s">
        <v>5</v>
      </c>
      <c r="C21" t="s">
        <v>6</v>
      </c>
      <c r="D21" t="s">
        <v>7</v>
      </c>
      <c r="E21" t="s">
        <v>5</v>
      </c>
      <c r="F21" t="s">
        <v>6</v>
      </c>
      <c r="G21" t="s">
        <v>7</v>
      </c>
      <c r="I21" t="s">
        <v>5</v>
      </c>
      <c r="J21" t="s">
        <v>6</v>
      </c>
      <c r="K21" t="s">
        <v>7</v>
      </c>
    </row>
    <row r="22" spans="1:11">
      <c r="A22">
        <v>2011</v>
      </c>
      <c r="B22">
        <f t="shared" ref="B22:D24" si="0">B15*0.122</f>
        <v>3.66</v>
      </c>
      <c r="C22">
        <f t="shared" si="0"/>
        <v>2.3180000000000001</v>
      </c>
      <c r="D22">
        <f t="shared" si="0"/>
        <v>2.44</v>
      </c>
      <c r="E22">
        <f>B22/2</f>
        <v>1.83</v>
      </c>
      <c r="F22">
        <f>C22</f>
        <v>2.3180000000000001</v>
      </c>
      <c r="G22">
        <f>D22</f>
        <v>2.44</v>
      </c>
      <c r="I22">
        <f>B22-E22+B23-E23+B24-E24</f>
        <v>5.3679999999999994</v>
      </c>
      <c r="J22">
        <f>C23-F23+C24-F24</f>
        <v>1.4896199999999997</v>
      </c>
      <c r="K22">
        <f>D23-G23+D24-G24</f>
        <v>0.84545999999999999</v>
      </c>
    </row>
    <row r="23" spans="1:11">
      <c r="A23">
        <v>2012</v>
      </c>
      <c r="B23">
        <f t="shared" si="0"/>
        <v>4.5140000000000002</v>
      </c>
      <c r="C23">
        <f t="shared" si="0"/>
        <v>2.1959999999999997</v>
      </c>
      <c r="D23">
        <f t="shared" si="0"/>
        <v>1.22</v>
      </c>
      <c r="E23">
        <f>B23/2</f>
        <v>2.2570000000000001</v>
      </c>
      <c r="F23">
        <f>0.67*C23</f>
        <v>1.47132</v>
      </c>
      <c r="G23">
        <f>0.67*D23</f>
        <v>0.81740000000000002</v>
      </c>
    </row>
    <row r="24" spans="1:11">
      <c r="A24">
        <v>2013</v>
      </c>
      <c r="B24">
        <f t="shared" si="0"/>
        <v>2.5619999999999998</v>
      </c>
      <c r="C24">
        <f t="shared" si="0"/>
        <v>2.3180000000000001</v>
      </c>
      <c r="D24">
        <f t="shared" si="0"/>
        <v>1.3420000000000001</v>
      </c>
      <c r="E24">
        <f>B24/2</f>
        <v>1.2809999999999999</v>
      </c>
      <c r="F24">
        <f>0.67*C24</f>
        <v>1.5530600000000001</v>
      </c>
      <c r="G24">
        <f>0.67*D24</f>
        <v>0.89914000000000016</v>
      </c>
    </row>
    <row r="27" spans="1:11">
      <c r="A27" s="1" t="s">
        <v>12</v>
      </c>
    </row>
    <row r="28" spans="1:11">
      <c r="B28" t="s">
        <v>14</v>
      </c>
      <c r="C28" t="s">
        <v>13</v>
      </c>
      <c r="E28" s="1"/>
      <c r="F28" t="s">
        <v>14</v>
      </c>
      <c r="G28" t="s">
        <v>13</v>
      </c>
    </row>
    <row r="29" spans="1:11">
      <c r="A29">
        <v>2011</v>
      </c>
      <c r="B29">
        <f>E22</f>
        <v>1.83</v>
      </c>
      <c r="C29">
        <f>0.06*B29/1.03</f>
        <v>0.1066019417475728</v>
      </c>
      <c r="E29">
        <v>2011</v>
      </c>
      <c r="F29">
        <f>E22</f>
        <v>1.83</v>
      </c>
      <c r="G29">
        <f>0.06*F29/1.03</f>
        <v>0.1066019417475728</v>
      </c>
    </row>
    <row r="30" spans="1:11">
      <c r="A30">
        <v>2012</v>
      </c>
      <c r="B30">
        <f>E23/1.03</f>
        <v>2.1912621359223303</v>
      </c>
      <c r="C30">
        <f>(0.06*(B30+B29))/1.03^2</f>
        <v>0.22742551433249111</v>
      </c>
      <c r="E30">
        <v>2012</v>
      </c>
      <c r="F30">
        <f>(E23+F23+G23)/1.03</f>
        <v>4.4133203883495149</v>
      </c>
      <c r="G30">
        <f>(0.06*(F30+F29))/1.03^2</f>
        <v>0.35309569544817693</v>
      </c>
    </row>
    <row r="31" spans="1:11">
      <c r="A31">
        <v>2013</v>
      </c>
      <c r="B31">
        <f>E24/1.03^2</f>
        <v>1.2074653596003393</v>
      </c>
      <c r="C31">
        <f>(0.06*(B31+B30+B29))/1.03^3</f>
        <v>0.28710158139348635</v>
      </c>
      <c r="E31">
        <v>2013</v>
      </c>
      <c r="F31">
        <f>(E24+F24+G24)/1.03^2</f>
        <v>3.5188990479781319</v>
      </c>
      <c r="G31">
        <f>(0.06*(F31+F30+F29))/1.03^3</f>
        <v>0.53602882163583299</v>
      </c>
    </row>
    <row r="32" spans="1:11">
      <c r="B32">
        <f>SUM(B29:B31)</f>
        <v>5.2287274955226692</v>
      </c>
      <c r="C32">
        <f>SUM(C29:C31)</f>
        <v>0.62112903747355031</v>
      </c>
      <c r="F32">
        <f>SUM(F29:F31)</f>
        <v>9.7622194363276478</v>
      </c>
      <c r="G32">
        <f>SUM(G29:G31)</f>
        <v>0.99572645883158273</v>
      </c>
    </row>
    <row r="34" spans="1:9">
      <c r="B34" t="s">
        <v>25</v>
      </c>
      <c r="C34" t="s">
        <v>22</v>
      </c>
      <c r="F34" t="s">
        <v>25</v>
      </c>
      <c r="G34" t="s">
        <v>22</v>
      </c>
      <c r="I34" s="1"/>
    </row>
    <row r="35" spans="1:9">
      <c r="B35">
        <f>SUM(E22:E24)/(1.03)^3</f>
        <v>4.9124804274077603</v>
      </c>
      <c r="C35" s="3">
        <f>I22</f>
        <v>5.3679999999999994</v>
      </c>
      <c r="F35">
        <f>SUM(E22+E23+F23+G23+E24+F24+G24)/1.03^3</f>
        <v>9.2510938230683433</v>
      </c>
      <c r="G35" s="4">
        <f>I22+J22+K22</f>
        <v>7.703079999999999</v>
      </c>
    </row>
    <row r="37" spans="1:9">
      <c r="A37" s="1" t="s">
        <v>18</v>
      </c>
      <c r="B37" t="s">
        <v>23</v>
      </c>
      <c r="E37" s="1" t="s">
        <v>18</v>
      </c>
      <c r="F37" t="s">
        <v>31</v>
      </c>
    </row>
    <row r="38" spans="1:9">
      <c r="A38" t="s">
        <v>19</v>
      </c>
      <c r="B38" s="3">
        <f>B32-C32-B35+C35</f>
        <v>5.0631180306413581</v>
      </c>
      <c r="E38" t="s">
        <v>19</v>
      </c>
      <c r="F38" s="4">
        <f>F32-F35-G32+G35</f>
        <v>7.2184791544277207</v>
      </c>
    </row>
    <row r="39" spans="1:9">
      <c r="A39" t="s">
        <v>20</v>
      </c>
      <c r="B39" s="7">
        <f>B38+C10+F10</f>
        <v>15.324131957578008</v>
      </c>
      <c r="E39" t="s">
        <v>20</v>
      </c>
      <c r="F39" s="6">
        <f>C10+F10+F38</f>
        <v>17.479493081364367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6"/>
  <sheetViews>
    <sheetView workbookViewId="0">
      <selection activeCell="G31" sqref="G31"/>
    </sheetView>
  </sheetViews>
  <sheetFormatPr baseColWidth="10" defaultRowHeight="15"/>
  <sheetData>
    <row r="1" spans="1:8">
      <c r="E1" t="s">
        <v>3</v>
      </c>
      <c r="F1" t="s">
        <v>2</v>
      </c>
    </row>
    <row r="2" spans="1:8">
      <c r="A2" s="1" t="s">
        <v>0</v>
      </c>
      <c r="D2" s="1" t="s">
        <v>1</v>
      </c>
      <c r="E2">
        <v>-6.7</v>
      </c>
      <c r="F2">
        <v>-6.7</v>
      </c>
    </row>
    <row r="3" spans="1:8">
      <c r="A3">
        <v>2011</v>
      </c>
      <c r="D3">
        <v>1</v>
      </c>
      <c r="E3">
        <f>0.06*6.7/1.03</f>
        <v>0.3902912621359223</v>
      </c>
      <c r="F3">
        <f>0.06*3.35/1.03</f>
        <v>0.19514563106796115</v>
      </c>
    </row>
    <row r="4" spans="1:8">
      <c r="A4">
        <v>2012</v>
      </c>
      <c r="D4">
        <v>2</v>
      </c>
      <c r="E4">
        <f>0.06*(6.7)/1.03^2</f>
        <v>0.37892355547176926</v>
      </c>
      <c r="F4">
        <f>0.06*(3.35)/1.03^2</f>
        <v>0.18946177773588463</v>
      </c>
    </row>
    <row r="5" spans="1:8">
      <c r="A5">
        <v>2013</v>
      </c>
      <c r="B5">
        <v>2.9</v>
      </c>
      <c r="C5">
        <f>B5/1.03^3</f>
        <v>2.6539108121241628</v>
      </c>
      <c r="D5">
        <v>3</v>
      </c>
      <c r="E5">
        <f>0.06*(6.7)/1.03^3</f>
        <v>0.3678869470599701</v>
      </c>
      <c r="F5">
        <f>0.06*(3.35)/1.03^3</f>
        <v>0.18394347352998505</v>
      </c>
    </row>
    <row r="6" spans="1:8">
      <c r="A6">
        <v>2014</v>
      </c>
      <c r="B6">
        <v>2.9</v>
      </c>
      <c r="C6">
        <f>B6/1.03^4</f>
        <v>2.5766124389554981</v>
      </c>
      <c r="D6">
        <v>4</v>
      </c>
      <c r="E6">
        <f>0.06*(6.7)/1.03^4</f>
        <v>0.35717179326210696</v>
      </c>
      <c r="F6">
        <f>0.06*(3.35)/1.03^4</f>
        <v>0.17858589663105348</v>
      </c>
    </row>
    <row r="7" spans="1:8">
      <c r="A7">
        <v>2015</v>
      </c>
      <c r="B7">
        <v>2.9</v>
      </c>
      <c r="C7">
        <f>B7/1.03^5</f>
        <v>2.5015654747140759</v>
      </c>
      <c r="D7">
        <v>5</v>
      </c>
      <c r="E7">
        <f>0.06*(6.7)/1.03^5</f>
        <v>0.34676873132243397</v>
      </c>
      <c r="F7">
        <f>0.06*(3.35)/1.03^5</f>
        <v>0.17338436566121698</v>
      </c>
    </row>
    <row r="8" spans="1:8">
      <c r="A8">
        <v>2016</v>
      </c>
      <c r="B8">
        <v>2.9</v>
      </c>
      <c r="C8">
        <f>B8/1.03^6</f>
        <v>2.4287043443825977</v>
      </c>
      <c r="E8">
        <f>SUM(E3:E7)</f>
        <v>1.8410422892522027</v>
      </c>
      <c r="F8">
        <f>SUM(F3:F7)</f>
        <v>0.92052114462610135</v>
      </c>
    </row>
    <row r="9" spans="1:8">
      <c r="A9">
        <v>2017</v>
      </c>
      <c r="B9">
        <v>2.9</v>
      </c>
      <c r="C9">
        <f>B9/1.03^7</f>
        <v>2.3579653828957259</v>
      </c>
      <c r="E9">
        <f>6.7/(1.03)^5</f>
        <v>5.7794788553738998</v>
      </c>
      <c r="F9">
        <f>3.35/1.03^5</f>
        <v>2.8897394276869499</v>
      </c>
    </row>
    <row r="10" spans="1:8">
      <c r="C10">
        <f>SUM(C5:C9)</f>
        <v>12.518758453072062</v>
      </c>
      <c r="E10">
        <f>(E2)*(-1)-E8-E9</f>
        <v>-0.92052114462610213</v>
      </c>
      <c r="F10">
        <f>F2*(-1)-F8-F9</f>
        <v>2.889739427686949</v>
      </c>
    </row>
    <row r="13" spans="1:8">
      <c r="A13" s="1" t="s">
        <v>4</v>
      </c>
      <c r="F13" s="1" t="s">
        <v>8</v>
      </c>
    </row>
    <row r="14" spans="1:8">
      <c r="B14" t="s">
        <v>5</v>
      </c>
      <c r="C14" t="s">
        <v>10</v>
      </c>
      <c r="D14" t="s">
        <v>6</v>
      </c>
      <c r="E14" t="s">
        <v>7</v>
      </c>
      <c r="F14" t="s">
        <v>5</v>
      </c>
      <c r="G14" t="s">
        <v>6</v>
      </c>
      <c r="H14" t="s">
        <v>7</v>
      </c>
    </row>
    <row r="15" spans="1:8">
      <c r="A15">
        <v>2011</v>
      </c>
      <c r="B15">
        <v>30</v>
      </c>
      <c r="C15">
        <f t="shared" ref="C15:C20" si="0">B15-5</f>
        <v>25</v>
      </c>
      <c r="D15">
        <v>19</v>
      </c>
      <c r="E15">
        <v>20</v>
      </c>
      <c r="F15">
        <f>B15/2</f>
        <v>15</v>
      </c>
      <c r="G15">
        <f>D15</f>
        <v>19</v>
      </c>
      <c r="H15">
        <f>E15</f>
        <v>20</v>
      </c>
    </row>
    <row r="16" spans="1:8">
      <c r="A16">
        <v>2012</v>
      </c>
      <c r="B16">
        <v>37</v>
      </c>
      <c r="C16">
        <f t="shared" si="0"/>
        <v>32</v>
      </c>
      <c r="D16">
        <v>18</v>
      </c>
      <c r="E16">
        <v>10</v>
      </c>
      <c r="F16">
        <f>B16/2</f>
        <v>18.5</v>
      </c>
      <c r="G16">
        <f t="shared" ref="G16:H18" si="1">D16/2</f>
        <v>9</v>
      </c>
      <c r="H16">
        <f t="shared" si="1"/>
        <v>5</v>
      </c>
    </row>
    <row r="17" spans="1:10">
      <c r="A17">
        <v>2013</v>
      </c>
      <c r="B17">
        <v>21</v>
      </c>
      <c r="C17">
        <f t="shared" si="0"/>
        <v>16</v>
      </c>
      <c r="D17">
        <v>19</v>
      </c>
      <c r="E17">
        <v>11</v>
      </c>
      <c r="F17">
        <f>B17/2</f>
        <v>10.5</v>
      </c>
      <c r="G17">
        <f t="shared" si="1"/>
        <v>9.5</v>
      </c>
      <c r="H17">
        <f t="shared" si="1"/>
        <v>5.5</v>
      </c>
    </row>
    <row r="18" spans="1:10">
      <c r="A18">
        <v>2014</v>
      </c>
      <c r="B18">
        <v>35</v>
      </c>
      <c r="C18">
        <f t="shared" si="0"/>
        <v>30</v>
      </c>
      <c r="D18">
        <v>19</v>
      </c>
      <c r="E18">
        <v>14</v>
      </c>
      <c r="F18">
        <f>B18/2</f>
        <v>17.5</v>
      </c>
      <c r="G18">
        <f t="shared" si="1"/>
        <v>9.5</v>
      </c>
      <c r="H18">
        <f t="shared" si="1"/>
        <v>7</v>
      </c>
    </row>
    <row r="19" spans="1:10">
      <c r="A19">
        <v>2015</v>
      </c>
      <c r="B19">
        <v>25</v>
      </c>
      <c r="C19">
        <f t="shared" si="0"/>
        <v>20</v>
      </c>
      <c r="D19">
        <v>19</v>
      </c>
      <c r="E19">
        <v>14</v>
      </c>
      <c r="F19">
        <f>B19</f>
        <v>25</v>
      </c>
      <c r="G19">
        <f>D19</f>
        <v>19</v>
      </c>
      <c r="H19">
        <f>E19</f>
        <v>14</v>
      </c>
    </row>
    <row r="20" spans="1:10">
      <c r="A20">
        <v>2016</v>
      </c>
      <c r="B20">
        <v>20</v>
      </c>
      <c r="C20">
        <f t="shared" si="0"/>
        <v>15</v>
      </c>
      <c r="D20">
        <v>19</v>
      </c>
      <c r="E20">
        <v>14</v>
      </c>
      <c r="F20">
        <f>B20</f>
        <v>20</v>
      </c>
      <c r="G20">
        <f>D20</f>
        <v>19</v>
      </c>
      <c r="H20">
        <f>E20</f>
        <v>14</v>
      </c>
    </row>
    <row r="22" spans="1:10">
      <c r="A22" s="1" t="s">
        <v>29</v>
      </c>
      <c r="J22" s="1"/>
    </row>
    <row r="23" spans="1:10">
      <c r="B23" t="s">
        <v>5</v>
      </c>
      <c r="C23" t="s">
        <v>10</v>
      </c>
      <c r="D23" t="s">
        <v>6</v>
      </c>
      <c r="E23" t="s">
        <v>7</v>
      </c>
      <c r="F23" t="s">
        <v>5</v>
      </c>
      <c r="G23" t="s">
        <v>6</v>
      </c>
      <c r="H23" t="s">
        <v>7</v>
      </c>
    </row>
    <row r="24" spans="1:10">
      <c r="A24">
        <v>2011</v>
      </c>
      <c r="B24">
        <f t="shared" ref="B24:B29" si="2">B15*0.184</f>
        <v>5.52</v>
      </c>
      <c r="C24">
        <f t="shared" ref="C24:C29" si="3">B24-5*0.184</f>
        <v>4.5999999999999996</v>
      </c>
      <c r="D24">
        <f t="shared" ref="D24:E29" si="4">D15*0.184</f>
        <v>3.496</v>
      </c>
      <c r="E24">
        <f t="shared" si="4"/>
        <v>3.6799999999999997</v>
      </c>
      <c r="F24">
        <f>B24/2</f>
        <v>2.76</v>
      </c>
      <c r="G24">
        <f>D24</f>
        <v>3.496</v>
      </c>
      <c r="H24">
        <f>E24</f>
        <v>3.6799999999999997</v>
      </c>
    </row>
    <row r="25" spans="1:10">
      <c r="A25">
        <v>2012</v>
      </c>
      <c r="B25">
        <f t="shared" si="2"/>
        <v>6.8079999999999998</v>
      </c>
      <c r="C25">
        <f t="shared" si="3"/>
        <v>5.8879999999999999</v>
      </c>
      <c r="D25">
        <f t="shared" si="4"/>
        <v>3.3119999999999998</v>
      </c>
      <c r="E25">
        <f t="shared" si="4"/>
        <v>1.8399999999999999</v>
      </c>
      <c r="F25">
        <f>B25/2</f>
        <v>3.4039999999999999</v>
      </c>
      <c r="G25">
        <f t="shared" ref="G25:H29" si="5">0.67*D25</f>
        <v>2.2190400000000001</v>
      </c>
      <c r="H25">
        <f t="shared" si="5"/>
        <v>1.2327999999999999</v>
      </c>
    </row>
    <row r="26" spans="1:10">
      <c r="A26">
        <v>2013</v>
      </c>
      <c r="B26">
        <f t="shared" si="2"/>
        <v>3.8639999999999999</v>
      </c>
      <c r="C26">
        <f t="shared" si="3"/>
        <v>2.944</v>
      </c>
      <c r="D26">
        <f t="shared" si="4"/>
        <v>3.496</v>
      </c>
      <c r="E26">
        <f t="shared" si="4"/>
        <v>2.024</v>
      </c>
      <c r="F26">
        <f>B26/2</f>
        <v>1.9319999999999999</v>
      </c>
      <c r="G26">
        <f t="shared" si="5"/>
        <v>2.34232</v>
      </c>
      <c r="H26">
        <f t="shared" si="5"/>
        <v>1.3560800000000002</v>
      </c>
    </row>
    <row r="27" spans="1:10">
      <c r="A27">
        <v>2014</v>
      </c>
      <c r="B27">
        <f t="shared" si="2"/>
        <v>6.4399999999999995</v>
      </c>
      <c r="C27">
        <f t="shared" si="3"/>
        <v>5.52</v>
      </c>
      <c r="D27">
        <f t="shared" si="4"/>
        <v>3.496</v>
      </c>
      <c r="E27">
        <f t="shared" si="4"/>
        <v>2.5760000000000001</v>
      </c>
      <c r="F27">
        <f>B27/2</f>
        <v>3.2199999999999998</v>
      </c>
      <c r="G27">
        <f t="shared" si="5"/>
        <v>2.34232</v>
      </c>
      <c r="H27">
        <f t="shared" si="5"/>
        <v>1.7259200000000001</v>
      </c>
    </row>
    <row r="28" spans="1:10">
      <c r="A28">
        <v>2015</v>
      </c>
      <c r="B28">
        <f t="shared" si="2"/>
        <v>4.5999999999999996</v>
      </c>
      <c r="C28">
        <f t="shared" si="3"/>
        <v>3.6799999999999997</v>
      </c>
      <c r="D28">
        <f t="shared" si="4"/>
        <v>3.496</v>
      </c>
      <c r="E28">
        <f t="shared" si="4"/>
        <v>2.5760000000000001</v>
      </c>
      <c r="F28">
        <f>B28</f>
        <v>4.5999999999999996</v>
      </c>
      <c r="G28">
        <f t="shared" si="5"/>
        <v>2.34232</v>
      </c>
      <c r="H28">
        <f t="shared" si="5"/>
        <v>1.7259200000000001</v>
      </c>
    </row>
    <row r="29" spans="1:10">
      <c r="A29">
        <v>2016</v>
      </c>
      <c r="B29">
        <f t="shared" si="2"/>
        <v>3.6799999999999997</v>
      </c>
      <c r="C29">
        <f t="shared" si="3"/>
        <v>2.76</v>
      </c>
      <c r="D29">
        <f t="shared" si="4"/>
        <v>3.496</v>
      </c>
      <c r="E29">
        <f t="shared" si="4"/>
        <v>2.5760000000000001</v>
      </c>
      <c r="F29">
        <f>B29</f>
        <v>3.6799999999999997</v>
      </c>
      <c r="G29">
        <f t="shared" si="5"/>
        <v>2.34232</v>
      </c>
      <c r="H29">
        <f t="shared" si="5"/>
        <v>1.7259200000000001</v>
      </c>
    </row>
    <row r="31" spans="1:10">
      <c r="A31" s="1" t="s">
        <v>12</v>
      </c>
    </row>
    <row r="32" spans="1:10">
      <c r="A32" s="1"/>
      <c r="B32" t="s">
        <v>14</v>
      </c>
      <c r="C32" t="s">
        <v>13</v>
      </c>
      <c r="E32" s="1"/>
      <c r="I32" s="1"/>
    </row>
    <row r="33" spans="1:11">
      <c r="A33">
        <v>2011</v>
      </c>
      <c r="B33">
        <f>C24</f>
        <v>4.5999999999999996</v>
      </c>
      <c r="C33">
        <f>0.06*B33/1.03</f>
        <v>0.26796116504854367</v>
      </c>
    </row>
    <row r="34" spans="1:11">
      <c r="A34">
        <v>2012</v>
      </c>
      <c r="B34">
        <f>C25/1.03</f>
        <v>5.7165048543689316</v>
      </c>
      <c r="C34">
        <f>(0.06*(B34+B33))/1.03^2</f>
        <v>0.58345771633720045</v>
      </c>
    </row>
    <row r="35" spans="1:11">
      <c r="A35">
        <v>2013</v>
      </c>
      <c r="B35">
        <f>C26/1.03^2</f>
        <v>2.775002356489773</v>
      </c>
      <c r="C35">
        <f>(0.06*(B35+B34+B33))/1.03^3</f>
        <v>0.71883501794274529</v>
      </c>
    </row>
    <row r="36" spans="1:11">
      <c r="A36">
        <v>2014</v>
      </c>
      <c r="B36">
        <f>C27/1.03^3</f>
        <v>5.0515819596294405</v>
      </c>
      <c r="C36">
        <f>(0.06*(B36+B35+B34+B33))/1.03^4</f>
        <v>0.96719398422948721</v>
      </c>
    </row>
    <row r="37" spans="1:11">
      <c r="A37">
        <v>2015</v>
      </c>
      <c r="B37">
        <f>C28/1.03^4</f>
        <v>3.2696323363297353</v>
      </c>
      <c r="C37">
        <f>(0.06*(B37+B36+B35+B34+B33))/1.03^5</f>
        <v>1.1082481001611693</v>
      </c>
    </row>
    <row r="38" spans="1:11">
      <c r="B38">
        <f>SUM(B33:B37)</f>
        <v>21.412721506817881</v>
      </c>
      <c r="C38">
        <f>SUM(C33:C37)</f>
        <v>3.645695983719146</v>
      </c>
    </row>
    <row r="40" spans="1:11">
      <c r="B40" t="s">
        <v>15</v>
      </c>
    </row>
    <row r="41" spans="1:11">
      <c r="B41" t="s">
        <v>16</v>
      </c>
      <c r="C41" s="2" t="s">
        <v>17</v>
      </c>
      <c r="D41" s="5" t="s">
        <v>26</v>
      </c>
      <c r="G41" s="2"/>
      <c r="K41" s="2"/>
    </row>
    <row r="42" spans="1:11">
      <c r="B42">
        <f>SUM(C24:C28)/1.03^5</f>
        <v>19.522562008182401</v>
      </c>
      <c r="C42">
        <f>0.333*SUM(C24:C28)/1.03^5</f>
        <v>6.5010131487247396</v>
      </c>
      <c r="D42">
        <v>0</v>
      </c>
    </row>
    <row r="44" spans="1:11">
      <c r="A44" s="1" t="s">
        <v>18</v>
      </c>
      <c r="B44" t="s">
        <v>9</v>
      </c>
      <c r="C44" t="s">
        <v>30</v>
      </c>
      <c r="D44" s="5" t="s">
        <v>21</v>
      </c>
      <c r="E44" s="1"/>
      <c r="I44" s="1"/>
    </row>
    <row r="45" spans="1:11">
      <c r="A45" t="s">
        <v>19</v>
      </c>
      <c r="B45">
        <f>B38-C38-B42</f>
        <v>-1.7555364850836668</v>
      </c>
      <c r="C45">
        <f>B38-C38-C42</f>
        <v>11.266012374373995</v>
      </c>
      <c r="D45">
        <f>B38-C38</f>
        <v>17.767025523098734</v>
      </c>
    </row>
    <row r="46" spans="1:11">
      <c r="A46" t="s">
        <v>20</v>
      </c>
      <c r="B46" s="1">
        <f>B45+C10+E10</f>
        <v>9.8427008233622928</v>
      </c>
      <c r="C46" s="1">
        <f>C45+C10+E10</f>
        <v>22.864249682819953</v>
      </c>
      <c r="D46" s="1">
        <f>D45+C10+(-1)*E2-E8</f>
        <v>35.1447416869186</v>
      </c>
    </row>
  </sheetData>
  <pageMargins left="0.7" right="0.7" top="0.78740157499999996" bottom="0.78740157499999996" header="0.3" footer="0.3"/>
  <ignoredErrors>
    <ignoredError sqref="C25:C29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K44"/>
  <sheetViews>
    <sheetView topLeftCell="A18" workbookViewId="0">
      <selection activeCell="G31" sqref="G31"/>
    </sheetView>
  </sheetViews>
  <sheetFormatPr baseColWidth="10" defaultRowHeight="15"/>
  <sheetData>
    <row r="1" spans="1:7">
      <c r="E1" t="s">
        <v>3</v>
      </c>
      <c r="F1" t="s">
        <v>2</v>
      </c>
    </row>
    <row r="2" spans="1:7">
      <c r="A2" s="1" t="s">
        <v>0</v>
      </c>
      <c r="D2" s="1" t="s">
        <v>1</v>
      </c>
      <c r="E2">
        <v>-6.7</v>
      </c>
      <c r="F2">
        <v>-6.7</v>
      </c>
    </row>
    <row r="3" spans="1:7">
      <c r="A3">
        <v>2011</v>
      </c>
      <c r="D3">
        <v>1</v>
      </c>
      <c r="E3">
        <f>0.06*6.7/1.03</f>
        <v>0.3902912621359223</v>
      </c>
      <c r="F3">
        <f>0.06*3.35/1.03</f>
        <v>0.19514563106796115</v>
      </c>
    </row>
    <row r="4" spans="1:7">
      <c r="A4">
        <v>2012</v>
      </c>
      <c r="D4">
        <v>2</v>
      </c>
      <c r="E4">
        <f>0.06*(6.7)/1.03^2</f>
        <v>0.37892355547176926</v>
      </c>
      <c r="F4">
        <f>0.06*(3.35)/1.03^2</f>
        <v>0.18946177773588463</v>
      </c>
    </row>
    <row r="5" spans="1:7">
      <c r="A5">
        <v>2013</v>
      </c>
      <c r="B5">
        <v>2.9</v>
      </c>
      <c r="C5">
        <f>B5/1.03^3</f>
        <v>2.6539108121241628</v>
      </c>
      <c r="D5">
        <v>3</v>
      </c>
      <c r="E5">
        <f>0.06*(6.7)/1.03^3</f>
        <v>0.3678869470599701</v>
      </c>
      <c r="F5">
        <f>0.06*(3.35)/1.03^3</f>
        <v>0.18394347352998505</v>
      </c>
    </row>
    <row r="6" spans="1:7">
      <c r="A6">
        <v>2014</v>
      </c>
      <c r="B6">
        <v>2.9</v>
      </c>
      <c r="C6">
        <f>B6/1.03^4</f>
        <v>2.5766124389554981</v>
      </c>
    </row>
    <row r="7" spans="1:7">
      <c r="A7">
        <v>2015</v>
      </c>
      <c r="B7">
        <v>2.9</v>
      </c>
      <c r="C7">
        <f>B7/1.03^5</f>
        <v>2.5015654747140759</v>
      </c>
    </row>
    <row r="8" spans="1:7">
      <c r="A8">
        <v>2016</v>
      </c>
      <c r="B8">
        <v>2.9</v>
      </c>
      <c r="C8">
        <f>B8/1.03^6</f>
        <v>2.4287043443825977</v>
      </c>
      <c r="E8">
        <f>SUM(E3:E7)</f>
        <v>1.1371017646676618</v>
      </c>
      <c r="F8">
        <f>SUM(F3:F7)</f>
        <v>0.56855088233383089</v>
      </c>
    </row>
    <row r="9" spans="1:7">
      <c r="A9">
        <v>2017</v>
      </c>
      <c r="B9">
        <v>2.9</v>
      </c>
      <c r="C9">
        <f>B9/1.03^7</f>
        <v>2.3579653828957259</v>
      </c>
      <c r="E9">
        <f>6.7/(1.03)^3</f>
        <v>6.1314491176661692</v>
      </c>
      <c r="F9">
        <f>3.35/1.03^3</f>
        <v>3.0657245588330846</v>
      </c>
    </row>
    <row r="10" spans="1:7">
      <c r="C10">
        <f>SUM(C5:C9)</f>
        <v>12.518758453072062</v>
      </c>
      <c r="E10">
        <f>(E2)*(-1)-E8-E9</f>
        <v>-0.568550882333831</v>
      </c>
      <c r="F10">
        <f>F2*(-1)-F8-F9</f>
        <v>3.0657245588330846</v>
      </c>
    </row>
    <row r="13" spans="1:7">
      <c r="A13" s="1" t="s">
        <v>4</v>
      </c>
      <c r="F13" s="1" t="s">
        <v>8</v>
      </c>
    </row>
    <row r="14" spans="1:7">
      <c r="B14" t="s">
        <v>5</v>
      </c>
      <c r="C14" t="s">
        <v>6</v>
      </c>
      <c r="D14" t="s">
        <v>7</v>
      </c>
      <c r="E14" t="s">
        <v>5</v>
      </c>
      <c r="F14" t="s">
        <v>6</v>
      </c>
      <c r="G14" t="s">
        <v>7</v>
      </c>
    </row>
    <row r="15" spans="1:7">
      <c r="A15">
        <v>2011</v>
      </c>
      <c r="B15">
        <v>30</v>
      </c>
      <c r="C15">
        <v>19</v>
      </c>
      <c r="D15">
        <v>20</v>
      </c>
      <c r="E15">
        <f>B15/2</f>
        <v>15</v>
      </c>
      <c r="F15">
        <f>C15</f>
        <v>19</v>
      </c>
      <c r="G15">
        <f>D15</f>
        <v>20</v>
      </c>
    </row>
    <row r="16" spans="1:7">
      <c r="A16">
        <v>2012</v>
      </c>
      <c r="B16">
        <v>37</v>
      </c>
      <c r="C16">
        <v>18</v>
      </c>
      <c r="D16">
        <v>10</v>
      </c>
      <c r="E16">
        <f>B16/2</f>
        <v>18.5</v>
      </c>
      <c r="F16">
        <f>C16*0.67</f>
        <v>12.06</v>
      </c>
      <c r="G16">
        <f>0.67*D16</f>
        <v>6.7</v>
      </c>
    </row>
    <row r="17" spans="1:11">
      <c r="A17">
        <v>2013</v>
      </c>
      <c r="B17">
        <v>21</v>
      </c>
      <c r="C17">
        <v>19</v>
      </c>
      <c r="D17">
        <v>11</v>
      </c>
      <c r="E17">
        <f>B17/2</f>
        <v>10.5</v>
      </c>
      <c r="F17">
        <f>C17*0.67</f>
        <v>12.73</v>
      </c>
      <c r="G17">
        <f>0.67*D17</f>
        <v>7.37</v>
      </c>
    </row>
    <row r="20" spans="1:11">
      <c r="A20" s="1" t="s">
        <v>29</v>
      </c>
      <c r="I20" s="1" t="s">
        <v>24</v>
      </c>
    </row>
    <row r="21" spans="1:11">
      <c r="B21" t="s">
        <v>5</v>
      </c>
      <c r="C21" t="s">
        <v>6</v>
      </c>
      <c r="D21" t="s">
        <v>7</v>
      </c>
      <c r="E21" t="s">
        <v>5</v>
      </c>
      <c r="F21" t="s">
        <v>6</v>
      </c>
      <c r="G21" t="s">
        <v>7</v>
      </c>
      <c r="I21" t="s">
        <v>5</v>
      </c>
      <c r="J21" t="s">
        <v>6</v>
      </c>
      <c r="K21" t="s">
        <v>7</v>
      </c>
    </row>
    <row r="22" spans="1:11">
      <c r="A22">
        <v>2011</v>
      </c>
      <c r="B22">
        <f t="shared" ref="B22:D24" si="0">B15*0.184</f>
        <v>5.52</v>
      </c>
      <c r="C22">
        <f t="shared" si="0"/>
        <v>3.496</v>
      </c>
      <c r="D22">
        <f t="shared" si="0"/>
        <v>3.6799999999999997</v>
      </c>
      <c r="E22">
        <f>B22/2</f>
        <v>2.76</v>
      </c>
      <c r="F22">
        <f>C22</f>
        <v>3.496</v>
      </c>
      <c r="G22">
        <f>D22</f>
        <v>3.6799999999999997</v>
      </c>
      <c r="I22">
        <f>B22-E22+B23-E23+B24-E24</f>
        <v>8.0959999999999983</v>
      </c>
      <c r="J22">
        <f>C23-F23+C24-F24</f>
        <v>2.2466400000000002</v>
      </c>
      <c r="K22">
        <f>D23-G23+D24-G24</f>
        <v>1.2751199999999996</v>
      </c>
    </row>
    <row r="23" spans="1:11">
      <c r="A23">
        <v>2012</v>
      </c>
      <c r="B23">
        <f t="shared" si="0"/>
        <v>6.8079999999999998</v>
      </c>
      <c r="C23">
        <f t="shared" si="0"/>
        <v>3.3119999999999998</v>
      </c>
      <c r="D23">
        <f t="shared" si="0"/>
        <v>1.8399999999999999</v>
      </c>
      <c r="E23">
        <f>B23/2</f>
        <v>3.4039999999999999</v>
      </c>
      <c r="F23">
        <f>0.67*C23</f>
        <v>2.2190400000000001</v>
      </c>
      <c r="G23">
        <f>0.67*D23</f>
        <v>1.2327999999999999</v>
      </c>
    </row>
    <row r="24" spans="1:11">
      <c r="A24">
        <v>2013</v>
      </c>
      <c r="B24">
        <f t="shared" si="0"/>
        <v>3.8639999999999999</v>
      </c>
      <c r="C24">
        <f t="shared" si="0"/>
        <v>3.496</v>
      </c>
      <c r="D24">
        <f t="shared" si="0"/>
        <v>2.024</v>
      </c>
      <c r="E24">
        <f>B24/2</f>
        <v>1.9319999999999999</v>
      </c>
      <c r="F24">
        <f>0.67*C24</f>
        <v>2.34232</v>
      </c>
      <c r="G24">
        <f>0.67*D24</f>
        <v>1.3560800000000002</v>
      </c>
    </row>
    <row r="27" spans="1:11">
      <c r="A27" s="1"/>
    </row>
    <row r="28" spans="1:11">
      <c r="A28" s="1"/>
      <c r="B28" t="s">
        <v>14</v>
      </c>
      <c r="C28" t="s">
        <v>13</v>
      </c>
      <c r="E28" s="1"/>
      <c r="F28" t="s">
        <v>14</v>
      </c>
      <c r="G28" t="s">
        <v>13</v>
      </c>
    </row>
    <row r="29" spans="1:11">
      <c r="A29">
        <v>2011</v>
      </c>
      <c r="B29">
        <f>E22</f>
        <v>2.76</v>
      </c>
      <c r="C29">
        <f>0.06*B29/1.03</f>
        <v>0.16077669902912617</v>
      </c>
      <c r="E29">
        <v>2011</v>
      </c>
      <c r="F29">
        <f>E22</f>
        <v>2.76</v>
      </c>
      <c r="G29">
        <f>0.06*F29/1.03</f>
        <v>0.16077669902912617</v>
      </c>
    </row>
    <row r="30" spans="1:11">
      <c r="A30">
        <v>2012</v>
      </c>
      <c r="B30">
        <f>E23/1.03</f>
        <v>3.3048543689320389</v>
      </c>
      <c r="C30">
        <f>(0.06*(B30+B29))/1.03^2</f>
        <v>0.34300241505883905</v>
      </c>
      <c r="E30">
        <v>2012</v>
      </c>
      <c r="F30">
        <f>(E23+F23+G23)/1.03</f>
        <v>6.6561553398058244</v>
      </c>
      <c r="G30">
        <f>(0.06*(F30+F29))/1.03^2</f>
        <v>0.53253777018413562</v>
      </c>
    </row>
    <row r="31" spans="1:11">
      <c r="A31">
        <v>2013</v>
      </c>
      <c r="B31">
        <f>E24/1.03^2</f>
        <v>1.8210952964464135</v>
      </c>
      <c r="C31">
        <f>(0.06*(B31+B30+B29))/1.03^3</f>
        <v>0.43300566374099581</v>
      </c>
      <c r="E31">
        <v>2013</v>
      </c>
      <c r="F31">
        <f>(E24+F24+G24)/1.03^2</f>
        <v>5.3071920067866909</v>
      </c>
      <c r="G31">
        <f>(0.06*(F31+F30+F29))/1.03^3</f>
        <v>0.80843691131961681</v>
      </c>
    </row>
    <row r="32" spans="1:11">
      <c r="B32">
        <f>SUM(B29:B31)</f>
        <v>7.8859496653784529</v>
      </c>
      <c r="C32">
        <f>SUM(C29:C31)</f>
        <v>0.93678477782896108</v>
      </c>
      <c r="F32">
        <f>SUM(F29:F31)</f>
        <v>14.723347346592515</v>
      </c>
      <c r="G32">
        <f>SUM(G29:G31)</f>
        <v>1.5017513805328786</v>
      </c>
    </row>
    <row r="34" spans="1:11">
      <c r="B34" t="s">
        <v>25</v>
      </c>
      <c r="C34" t="s">
        <v>22</v>
      </c>
      <c r="F34" t="s">
        <v>25</v>
      </c>
      <c r="G34" t="s">
        <v>22</v>
      </c>
      <c r="I34" s="1"/>
    </row>
    <row r="35" spans="1:11">
      <c r="B35">
        <f>SUM(E22:E24)/(1.03)^3</f>
        <v>7.4089868741231797</v>
      </c>
      <c r="C35" s="3">
        <f>I22</f>
        <v>8.0959999999999983</v>
      </c>
      <c r="F35">
        <f>SUM(E22+E23+F23+G23+E24+F24+G24)/1.03^3</f>
        <v>13.952469372496514</v>
      </c>
      <c r="G35" s="4">
        <f>I22+J22+K22</f>
        <v>11.617759999999999</v>
      </c>
    </row>
    <row r="37" spans="1:11">
      <c r="A37" s="1" t="s">
        <v>18</v>
      </c>
      <c r="B37" t="s">
        <v>23</v>
      </c>
      <c r="E37" s="8" t="s">
        <v>31</v>
      </c>
    </row>
    <row r="38" spans="1:11">
      <c r="A38" t="s">
        <v>19</v>
      </c>
      <c r="B38" s="3">
        <f>B32-C32-B35+C35</f>
        <v>7.63617801342631</v>
      </c>
      <c r="E38" t="s">
        <v>19</v>
      </c>
      <c r="F38" s="4">
        <f>F32-F35-G32+G35</f>
        <v>10.886886593563121</v>
      </c>
    </row>
    <row r="39" spans="1:11">
      <c r="A39" t="s">
        <v>20</v>
      </c>
      <c r="B39" s="7">
        <f>B38+C10+F10</f>
        <v>23.220661025331456</v>
      </c>
      <c r="E39" t="s">
        <v>20</v>
      </c>
      <c r="F39" s="6">
        <f>C10+F10+F38</f>
        <v>26.471369605468269</v>
      </c>
    </row>
    <row r="41" spans="1:11">
      <c r="C41" s="2"/>
      <c r="G41" s="2"/>
      <c r="K41" s="2"/>
    </row>
    <row r="44" spans="1:11">
      <c r="A44" s="1"/>
      <c r="E44" s="1"/>
      <c r="I44" s="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17</vt:i4>
      </vt:variant>
    </vt:vector>
  </HeadingPairs>
  <TitlesOfParts>
    <vt:vector size="17" baseType="lpstr">
      <vt:lpstr>SMP_ELA</vt:lpstr>
      <vt:lpstr>I_D1</vt:lpstr>
      <vt:lpstr>I_D2</vt:lpstr>
      <vt:lpstr>I_F1</vt:lpstr>
      <vt:lpstr>I_F2</vt:lpstr>
      <vt:lpstr>I_E1</vt:lpstr>
      <vt:lpstr>I_E2</vt:lpstr>
      <vt:lpstr>I_I1</vt:lpstr>
      <vt:lpstr>I_I2</vt:lpstr>
      <vt:lpstr>II_D1</vt:lpstr>
      <vt:lpstr>II_D2</vt:lpstr>
      <vt:lpstr>II_F1</vt:lpstr>
      <vt:lpstr>II_F2</vt:lpstr>
      <vt:lpstr>II_E1</vt:lpstr>
      <vt:lpstr>II_E2</vt:lpstr>
      <vt:lpstr>II_I1</vt:lpstr>
      <vt:lpstr>II_I2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Admin</cp:lastModifiedBy>
  <dcterms:created xsi:type="dcterms:W3CDTF">2011-05-20T04:43:25Z</dcterms:created>
  <dcterms:modified xsi:type="dcterms:W3CDTF">2011-07-03T21:11:04Z</dcterms:modified>
</cp:coreProperties>
</file>